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basem\nidham-promo\attendance-sheet\out\"/>
    </mc:Choice>
  </mc:AlternateContent>
  <xr:revisionPtr revIDLastSave="0" documentId="8_{EA35422E-CBA3-4828-A7D0-35E38951CDBB}" xr6:coauthVersionLast="47" xr6:coauthVersionMax="47" xr10:uidLastSave="{00000000-0000-0000-0000-000000000000}"/>
  <bookViews>
    <workbookView xWindow="-108" yWindow="-108" windowWidth="23256" windowHeight="12456" activeTab="1" xr2:uid="{00000000-000D-0000-FFFF-FFFF00000000}"/>
  </bookViews>
  <sheets>
    <sheet name="الإعدادات" sheetId="1" r:id="rId1"/>
    <sheet name="الحضور" sheetId="2" r:id="rId2"/>
    <sheet name="المدن" sheetId="3" r:id="rId3"/>
    <sheet name="حساب الشمس" sheetId="4" r:id="rId4"/>
  </sheets>
  <definedNames>
    <definedName name="City">الإعدادات!$C$8</definedName>
    <definedName name="CompanyName">الإعدادات!$C$5</definedName>
    <definedName name="CustomLat">الإعدادات!$C$9</definedName>
    <definedName name="CustomLng">الإعدادات!$C$10</definedName>
    <definedName name="DayHours">الإعدادات!$C$29</definedName>
    <definedName name="EmployeeName">الإعدادات!$C$6</definedName>
    <definedName name="HourlyWage">الإعدادات!$C$21</definedName>
    <definedName name="Lat">الإعدادات!$C$27</definedName>
    <definedName name="LateGrace">الإعدادات!$C$14</definedName>
    <definedName name="Lng">الإعدادات!$C$28</definedName>
    <definedName name="MonthlyWage">الإعدادات!$C$19</definedName>
    <definedName name="MonthStart">الإعدادات!$C$7</definedName>
    <definedName name="OTGrace">الإعدادات!$C$15</definedName>
    <definedName name="_xlnm.Print_Area" localSheetId="1">الحضور!$A$1:$O$48</definedName>
    <definedName name="RateDay">الإعدادات!$C$23</definedName>
    <definedName name="RateNight">الإعدادات!$C$24</definedName>
    <definedName name="RateRest">الإعدادات!$C$25</definedName>
    <definedName name="Rest1">الإعدادات!$C$16</definedName>
    <definedName name="Rest2">الإعدادات!$C$17</definedName>
    <definedName name="ShiftEnd">الإعدادات!$C$13</definedName>
    <definedName name="ShiftStart">الإعدادات!$C$12</definedName>
    <definedName name="WageDays">الإعدادات!$C$20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3" i="4" l="1"/>
  <c r="C33" i="4" s="1"/>
  <c r="B32" i="4"/>
  <c r="B31" i="4"/>
  <c r="C31" i="4" s="1"/>
  <c r="D31" i="4" s="1"/>
  <c r="E31" i="4" s="1"/>
  <c r="B30" i="4"/>
  <c r="B29" i="4"/>
  <c r="C29" i="4" s="1"/>
  <c r="B28" i="4"/>
  <c r="B27" i="4"/>
  <c r="C27" i="4" s="1"/>
  <c r="D27" i="4" s="1"/>
  <c r="E27" i="4" s="1"/>
  <c r="B26" i="4"/>
  <c r="B25" i="4"/>
  <c r="C25" i="4" s="1"/>
  <c r="D25" i="4" s="1"/>
  <c r="E25" i="4" s="1"/>
  <c r="B24" i="4"/>
  <c r="B23" i="4"/>
  <c r="C23" i="4" s="1"/>
  <c r="D23" i="4" s="1"/>
  <c r="E23" i="4" s="1"/>
  <c r="B22" i="4"/>
  <c r="B21" i="4"/>
  <c r="C21" i="4" s="1"/>
  <c r="D21" i="4" s="1"/>
  <c r="E21" i="4" s="1"/>
  <c r="B20" i="4"/>
  <c r="B19" i="4"/>
  <c r="C19" i="4" s="1"/>
  <c r="D19" i="4" s="1"/>
  <c r="E19" i="4" s="1"/>
  <c r="B18" i="4"/>
  <c r="B17" i="4"/>
  <c r="C17" i="4" s="1"/>
  <c r="D17" i="4" s="1"/>
  <c r="E17" i="4" s="1"/>
  <c r="B16" i="4"/>
  <c r="B15" i="4"/>
  <c r="C15" i="4" s="1"/>
  <c r="D15" i="4" s="1"/>
  <c r="E15" i="4" s="1"/>
  <c r="B14" i="4"/>
  <c r="B13" i="4"/>
  <c r="C13" i="4" s="1"/>
  <c r="D13" i="4" s="1"/>
  <c r="E13" i="4" s="1"/>
  <c r="B12" i="4"/>
  <c r="B11" i="4"/>
  <c r="C11" i="4" s="1"/>
  <c r="D11" i="4" s="1"/>
  <c r="E11" i="4" s="1"/>
  <c r="B10" i="4"/>
  <c r="B9" i="4"/>
  <c r="C9" i="4" s="1"/>
  <c r="D9" i="4" s="1"/>
  <c r="E9" i="4" s="1"/>
  <c r="B8" i="4"/>
  <c r="B7" i="4"/>
  <c r="C7" i="4" s="1"/>
  <c r="D7" i="4" s="1"/>
  <c r="E7" i="4" s="1"/>
  <c r="B6" i="4"/>
  <c r="B5" i="4"/>
  <c r="C5" i="4" s="1"/>
  <c r="D5" i="4" s="1"/>
  <c r="E5" i="4" s="1"/>
  <c r="B4" i="4"/>
  <c r="B3" i="4"/>
  <c r="C3" i="4" s="1"/>
  <c r="D3" i="4" s="1"/>
  <c r="E3" i="4" s="1"/>
  <c r="C36" i="3"/>
  <c r="B36" i="3"/>
  <c r="J44" i="2"/>
  <c r="J43" i="2"/>
  <c r="J42" i="2"/>
  <c r="Q37" i="2"/>
  <c r="A37" i="2"/>
  <c r="Q36" i="2"/>
  <c r="A36" i="2"/>
  <c r="I36" i="2" s="1"/>
  <c r="Q35" i="2"/>
  <c r="A35" i="2"/>
  <c r="Q34" i="2"/>
  <c r="A34" i="2"/>
  <c r="I34" i="2" s="1"/>
  <c r="Q33" i="2"/>
  <c r="A33" i="2"/>
  <c r="Q32" i="2"/>
  <c r="A32" i="2"/>
  <c r="B32" i="2" s="1"/>
  <c r="Q31" i="2"/>
  <c r="A31" i="2"/>
  <c r="B31" i="2" s="1"/>
  <c r="F31" i="2" s="1"/>
  <c r="P31" i="2" s="1"/>
  <c r="Q30" i="2"/>
  <c r="A30" i="2"/>
  <c r="I30" i="2" s="1"/>
  <c r="Q29" i="2"/>
  <c r="A29" i="2"/>
  <c r="Q28" i="2"/>
  <c r="A28" i="2"/>
  <c r="Q27" i="2"/>
  <c r="A27" i="2"/>
  <c r="B27" i="2" s="1"/>
  <c r="Q26" i="2"/>
  <c r="A26" i="2"/>
  <c r="Q25" i="2"/>
  <c r="A25" i="2"/>
  <c r="I25" i="2" s="1"/>
  <c r="Q24" i="2"/>
  <c r="A24" i="2"/>
  <c r="B24" i="2" s="1"/>
  <c r="Q23" i="2"/>
  <c r="A23" i="2"/>
  <c r="I23" i="2" s="1"/>
  <c r="Q22" i="2"/>
  <c r="A22" i="2"/>
  <c r="B22" i="2" s="1"/>
  <c r="Q21" i="2"/>
  <c r="A21" i="2"/>
  <c r="B21" i="2" s="1"/>
  <c r="F21" i="2" s="1"/>
  <c r="Q20" i="2"/>
  <c r="A20" i="2"/>
  <c r="Q19" i="2"/>
  <c r="A19" i="2"/>
  <c r="B19" i="2" s="1"/>
  <c r="Q18" i="2"/>
  <c r="A18" i="2"/>
  <c r="Q17" i="2"/>
  <c r="A17" i="2"/>
  <c r="Q16" i="2"/>
  <c r="A16" i="2"/>
  <c r="I16" i="2" s="1"/>
  <c r="Q15" i="2"/>
  <c r="A15" i="2"/>
  <c r="I15" i="2" s="1"/>
  <c r="Q14" i="2"/>
  <c r="A14" i="2"/>
  <c r="B14" i="2" s="1"/>
  <c r="F14" i="2" s="1"/>
  <c r="Q13" i="2"/>
  <c r="A13" i="2"/>
  <c r="Q12" i="2"/>
  <c r="A12" i="2"/>
  <c r="Q11" i="2"/>
  <c r="A11" i="2"/>
  <c r="Q10" i="2"/>
  <c r="A10" i="2"/>
  <c r="I10" i="2" s="1"/>
  <c r="Q9" i="2"/>
  <c r="A9" i="2"/>
  <c r="Q8" i="2"/>
  <c r="I8" i="2"/>
  <c r="A8" i="2"/>
  <c r="Q7" i="2"/>
  <c r="A7" i="2"/>
  <c r="I7" i="2" s="1"/>
  <c r="A2" i="2"/>
  <c r="C29" i="1"/>
  <c r="C28" i="1"/>
  <c r="C27" i="1"/>
  <c r="C21" i="1"/>
  <c r="A3" i="2" s="1"/>
  <c r="O31" i="2" l="1"/>
  <c r="B29" i="2"/>
  <c r="F29" i="2" s="1"/>
  <c r="I31" i="2"/>
  <c r="I24" i="2"/>
  <c r="B7" i="2"/>
  <c r="F7" i="2" s="1"/>
  <c r="B9" i="2"/>
  <c r="F9" i="2" s="1"/>
  <c r="B34" i="2"/>
  <c r="F34" i="2" s="1"/>
  <c r="I9" i="2"/>
  <c r="B23" i="2"/>
  <c r="F23" i="2" s="1"/>
  <c r="K23" i="2" s="1"/>
  <c r="B15" i="2"/>
  <c r="F15" i="2" s="1"/>
  <c r="J15" i="2" s="1"/>
  <c r="I17" i="2"/>
  <c r="B30" i="2"/>
  <c r="F30" i="2" s="1"/>
  <c r="O30" i="2" s="1"/>
  <c r="I32" i="2"/>
  <c r="F24" i="2"/>
  <c r="J24" i="2" s="1"/>
  <c r="B17" i="2"/>
  <c r="F17" i="2" s="1"/>
  <c r="N14" i="2"/>
  <c r="P14" i="2"/>
  <c r="P23" i="2"/>
  <c r="R23" i="2" s="1"/>
  <c r="N23" i="2"/>
  <c r="K15" i="2"/>
  <c r="N30" i="2"/>
  <c r="N21" i="2"/>
  <c r="K21" i="2"/>
  <c r="R31" i="2"/>
  <c r="B33" i="2"/>
  <c r="F33" i="2" s="1"/>
  <c r="I33" i="2"/>
  <c r="G3" i="4"/>
  <c r="I3" i="4" s="1"/>
  <c r="F3" i="4"/>
  <c r="L3" i="4"/>
  <c r="J3" i="4"/>
  <c r="H3" i="4"/>
  <c r="G11" i="4"/>
  <c r="I11" i="4" s="1"/>
  <c r="F11" i="4"/>
  <c r="L11" i="4"/>
  <c r="J11" i="4"/>
  <c r="H11" i="4"/>
  <c r="B10" i="2"/>
  <c r="F10" i="2" s="1"/>
  <c r="I22" i="2"/>
  <c r="G19" i="4"/>
  <c r="I19" i="4" s="1"/>
  <c r="F19" i="4"/>
  <c r="L19" i="4"/>
  <c r="J19" i="4"/>
  <c r="H19" i="4"/>
  <c r="G27" i="4"/>
  <c r="I27" i="4" s="1"/>
  <c r="F27" i="4"/>
  <c r="L27" i="4"/>
  <c r="J27" i="4"/>
  <c r="H27" i="4"/>
  <c r="B11" i="2"/>
  <c r="F11" i="2" s="1"/>
  <c r="I12" i="2"/>
  <c r="B18" i="2"/>
  <c r="F18" i="2" s="1"/>
  <c r="O18" i="2"/>
  <c r="F22" i="2"/>
  <c r="B12" i="2"/>
  <c r="I13" i="2"/>
  <c r="I18" i="2"/>
  <c r="I20" i="2"/>
  <c r="F27" i="2"/>
  <c r="P27" i="2" s="1"/>
  <c r="I11" i="2"/>
  <c r="F19" i="2"/>
  <c r="P19" i="2" s="1"/>
  <c r="R19" i="2" s="1"/>
  <c r="B26" i="2"/>
  <c r="F26" i="2" s="1"/>
  <c r="G31" i="4"/>
  <c r="I31" i="4" s="1"/>
  <c r="F31" i="4"/>
  <c r="L31" i="4"/>
  <c r="J31" i="4"/>
  <c r="H31" i="4"/>
  <c r="M31" i="2"/>
  <c r="L31" i="2" s="1"/>
  <c r="J5" i="4"/>
  <c r="H5" i="4"/>
  <c r="G5" i="4"/>
  <c r="I5" i="4" s="1"/>
  <c r="F5" i="4"/>
  <c r="L5" i="4"/>
  <c r="J13" i="4"/>
  <c r="H13" i="4"/>
  <c r="G13" i="4"/>
  <c r="I13" i="4" s="1"/>
  <c r="F13" i="4"/>
  <c r="L13" i="4"/>
  <c r="M13" i="4" s="1"/>
  <c r="J21" i="4"/>
  <c r="H21" i="4"/>
  <c r="G21" i="4"/>
  <c r="I21" i="4" s="1"/>
  <c r="F21" i="4"/>
  <c r="L21" i="4"/>
  <c r="F12" i="2"/>
  <c r="N12" i="2" s="1"/>
  <c r="B13" i="2"/>
  <c r="F13" i="2" s="1"/>
  <c r="I19" i="2"/>
  <c r="B20" i="2"/>
  <c r="F20" i="2" s="1"/>
  <c r="I26" i="2"/>
  <c r="I28" i="2"/>
  <c r="J31" i="2"/>
  <c r="K12" i="2"/>
  <c r="I14" i="2"/>
  <c r="K14" i="2"/>
  <c r="J14" i="2"/>
  <c r="O14" i="2"/>
  <c r="J19" i="2"/>
  <c r="I21" i="2"/>
  <c r="P21" i="2"/>
  <c r="R21" i="2" s="1"/>
  <c r="J21" i="2"/>
  <c r="O21" i="2"/>
  <c r="I27" i="2"/>
  <c r="B28" i="2"/>
  <c r="F28" i="2" s="1"/>
  <c r="K31" i="2"/>
  <c r="I29" i="2"/>
  <c r="N31" i="2"/>
  <c r="G7" i="4"/>
  <c r="I7" i="4" s="1"/>
  <c r="F7" i="4"/>
  <c r="L7" i="4"/>
  <c r="J7" i="4"/>
  <c r="H7" i="4"/>
  <c r="G15" i="4"/>
  <c r="I15" i="4" s="1"/>
  <c r="F15" i="4"/>
  <c r="L15" i="4"/>
  <c r="J15" i="4"/>
  <c r="H15" i="4"/>
  <c r="G23" i="4"/>
  <c r="I23" i="4" s="1"/>
  <c r="F23" i="4"/>
  <c r="K23" i="4" s="1"/>
  <c r="L23" i="4"/>
  <c r="J23" i="4"/>
  <c r="H23" i="4"/>
  <c r="B25" i="2"/>
  <c r="F25" i="2" s="1"/>
  <c r="J9" i="4"/>
  <c r="H9" i="4"/>
  <c r="G9" i="4"/>
  <c r="I9" i="4" s="1"/>
  <c r="F9" i="4"/>
  <c r="L9" i="4"/>
  <c r="J17" i="4"/>
  <c r="H17" i="4"/>
  <c r="G17" i="4"/>
  <c r="I17" i="4" s="1"/>
  <c r="F17" i="4"/>
  <c r="L17" i="4"/>
  <c r="M17" i="4" s="1"/>
  <c r="J25" i="4"/>
  <c r="H25" i="4"/>
  <c r="G25" i="4"/>
  <c r="I25" i="4" s="1"/>
  <c r="F25" i="4"/>
  <c r="L25" i="4"/>
  <c r="B8" i="2"/>
  <c r="F8" i="2" s="1"/>
  <c r="B16" i="2"/>
  <c r="F16" i="2" s="1"/>
  <c r="F32" i="2"/>
  <c r="I35" i="2"/>
  <c r="D29" i="4"/>
  <c r="E29" i="4" s="1"/>
  <c r="D33" i="4"/>
  <c r="E33" i="4" s="1"/>
  <c r="C6" i="4"/>
  <c r="D6" i="4" s="1"/>
  <c r="E6" i="4" s="1"/>
  <c r="C10" i="4"/>
  <c r="D10" i="4" s="1"/>
  <c r="E10" i="4" s="1"/>
  <c r="C14" i="4"/>
  <c r="D14" i="4" s="1"/>
  <c r="E14" i="4" s="1"/>
  <c r="C18" i="4"/>
  <c r="D18" i="4" s="1"/>
  <c r="E18" i="4" s="1"/>
  <c r="C22" i="4"/>
  <c r="D22" i="4" s="1"/>
  <c r="E22" i="4" s="1"/>
  <c r="C26" i="4"/>
  <c r="D26" i="4" s="1"/>
  <c r="E26" i="4" s="1"/>
  <c r="C30" i="4"/>
  <c r="D30" i="4" s="1"/>
  <c r="E30" i="4" s="1"/>
  <c r="B37" i="2"/>
  <c r="F37" i="2" s="1"/>
  <c r="B36" i="2"/>
  <c r="F36" i="2" s="1"/>
  <c r="B35" i="2"/>
  <c r="F35" i="2" s="1"/>
  <c r="O35" i="2" s="1"/>
  <c r="C4" i="4"/>
  <c r="D4" i="4" s="1"/>
  <c r="E4" i="4" s="1"/>
  <c r="C8" i="4"/>
  <c r="D8" i="4" s="1"/>
  <c r="E8" i="4" s="1"/>
  <c r="C12" i="4"/>
  <c r="D12" i="4" s="1"/>
  <c r="E12" i="4" s="1"/>
  <c r="C16" i="4"/>
  <c r="D16" i="4" s="1"/>
  <c r="E16" i="4" s="1"/>
  <c r="C20" i="4"/>
  <c r="D20" i="4" s="1"/>
  <c r="E20" i="4" s="1"/>
  <c r="C24" i="4"/>
  <c r="D24" i="4" s="1"/>
  <c r="E24" i="4" s="1"/>
  <c r="C28" i="4"/>
  <c r="D28" i="4" s="1"/>
  <c r="E28" i="4" s="1"/>
  <c r="C32" i="4"/>
  <c r="D32" i="4" s="1"/>
  <c r="E32" i="4" s="1"/>
  <c r="I37" i="2"/>
  <c r="K5" i="4" l="1"/>
  <c r="O12" i="2"/>
  <c r="J30" i="2"/>
  <c r="K11" i="4"/>
  <c r="J12" i="2"/>
  <c r="K30" i="2"/>
  <c r="O24" i="2"/>
  <c r="K17" i="4"/>
  <c r="N17" i="4" s="1"/>
  <c r="Q17" i="4" s="1"/>
  <c r="P30" i="2"/>
  <c r="O27" i="2"/>
  <c r="N18" i="2"/>
  <c r="P18" i="2"/>
  <c r="O34" i="2"/>
  <c r="P34" i="2"/>
  <c r="R34" i="2" s="1"/>
  <c r="N9" i="2"/>
  <c r="K9" i="2"/>
  <c r="J9" i="2"/>
  <c r="P9" i="2"/>
  <c r="M9" i="2" s="1"/>
  <c r="L9" i="2" s="1"/>
  <c r="O9" i="2"/>
  <c r="N10" i="2"/>
  <c r="J10" i="2"/>
  <c r="O10" i="2"/>
  <c r="N33" i="2"/>
  <c r="J33" i="2"/>
  <c r="P33" i="2"/>
  <c r="M33" i="2" s="1"/>
  <c r="K33" i="2"/>
  <c r="P7" i="2"/>
  <c r="R7" i="2" s="1"/>
  <c r="N7" i="2"/>
  <c r="O7" i="2"/>
  <c r="K7" i="2"/>
  <c r="J7" i="2"/>
  <c r="N17" i="2"/>
  <c r="K17" i="2"/>
  <c r="J17" i="2"/>
  <c r="P17" i="2"/>
  <c r="O17" i="2"/>
  <c r="N29" i="2"/>
  <c r="J29" i="2"/>
  <c r="O29" i="2"/>
  <c r="P29" i="2"/>
  <c r="R29" i="2" s="1"/>
  <c r="K29" i="2"/>
  <c r="K19" i="4"/>
  <c r="O23" i="2"/>
  <c r="M9" i="4"/>
  <c r="K21" i="4"/>
  <c r="P12" i="2"/>
  <c r="M27" i="4"/>
  <c r="O27" i="4" s="1"/>
  <c r="P27" i="4" s="1"/>
  <c r="O15" i="2"/>
  <c r="J23" i="2"/>
  <c r="K24" i="2"/>
  <c r="N24" i="2"/>
  <c r="P24" i="2"/>
  <c r="R24" i="2" s="1"/>
  <c r="N15" i="2"/>
  <c r="K27" i="4"/>
  <c r="P15" i="2"/>
  <c r="M15" i="2" s="1"/>
  <c r="L15" i="2" s="1"/>
  <c r="J27" i="2"/>
  <c r="N36" i="2"/>
  <c r="K36" i="2"/>
  <c r="O36" i="2"/>
  <c r="J36" i="2"/>
  <c r="P36" i="2"/>
  <c r="L12" i="4"/>
  <c r="J12" i="4"/>
  <c r="H12" i="4"/>
  <c r="G12" i="4"/>
  <c r="I12" i="4" s="1"/>
  <c r="F12" i="4"/>
  <c r="H14" i="4"/>
  <c r="G14" i="4"/>
  <c r="I14" i="4" s="1"/>
  <c r="F14" i="4"/>
  <c r="L14" i="4"/>
  <c r="J14" i="4"/>
  <c r="L32" i="4"/>
  <c r="J32" i="4"/>
  <c r="H32" i="4"/>
  <c r="G32" i="4"/>
  <c r="I32" i="4" s="1"/>
  <c r="F32" i="4"/>
  <c r="H6" i="4"/>
  <c r="G6" i="4"/>
  <c r="I6" i="4" s="1"/>
  <c r="F6" i="4"/>
  <c r="L6" i="4"/>
  <c r="J6" i="4"/>
  <c r="N20" i="2"/>
  <c r="K20" i="2"/>
  <c r="J20" i="2"/>
  <c r="O20" i="2"/>
  <c r="P20" i="2"/>
  <c r="L8" i="4"/>
  <c r="J8" i="4"/>
  <c r="H8" i="4"/>
  <c r="G8" i="4"/>
  <c r="I8" i="4" s="1"/>
  <c r="F8" i="4"/>
  <c r="N26" i="2"/>
  <c r="P26" i="2"/>
  <c r="O26" i="2"/>
  <c r="K26" i="2"/>
  <c r="J26" i="2"/>
  <c r="H10" i="4"/>
  <c r="G10" i="4"/>
  <c r="I10" i="4" s="1"/>
  <c r="F10" i="4"/>
  <c r="L10" i="4"/>
  <c r="J10" i="4"/>
  <c r="N37" i="2"/>
  <c r="P37" i="2"/>
  <c r="K37" i="2"/>
  <c r="O37" i="2"/>
  <c r="J37" i="2"/>
  <c r="L20" i="4"/>
  <c r="J20" i="4"/>
  <c r="H20" i="4"/>
  <c r="G20" i="4"/>
  <c r="I20" i="4" s="1"/>
  <c r="F20" i="4"/>
  <c r="H30" i="4"/>
  <c r="G30" i="4"/>
  <c r="I30" i="4" s="1"/>
  <c r="F30" i="4"/>
  <c r="L30" i="4"/>
  <c r="J30" i="4"/>
  <c r="N28" i="2"/>
  <c r="K28" i="2"/>
  <c r="J28" i="2"/>
  <c r="P28" i="2"/>
  <c r="O28" i="2"/>
  <c r="L4" i="4"/>
  <c r="J4" i="4"/>
  <c r="H4" i="4"/>
  <c r="G4" i="4"/>
  <c r="I4" i="4" s="1"/>
  <c r="F4" i="4"/>
  <c r="H26" i="4"/>
  <c r="G26" i="4"/>
  <c r="I26" i="4" s="1"/>
  <c r="F26" i="4"/>
  <c r="L26" i="4"/>
  <c r="J26" i="4"/>
  <c r="N13" i="2"/>
  <c r="K13" i="2"/>
  <c r="J13" i="2"/>
  <c r="O13" i="2"/>
  <c r="P13" i="2"/>
  <c r="N11" i="2"/>
  <c r="J11" i="2"/>
  <c r="K11" i="2"/>
  <c r="P11" i="2"/>
  <c r="O11" i="2"/>
  <c r="R12" i="2"/>
  <c r="M12" i="2"/>
  <c r="L12" i="2"/>
  <c r="N25" i="2"/>
  <c r="O25" i="2"/>
  <c r="K25" i="2"/>
  <c r="J25" i="2"/>
  <c r="P25" i="2"/>
  <c r="J33" i="4"/>
  <c r="H33" i="4"/>
  <c r="G33" i="4"/>
  <c r="I33" i="4" s="1"/>
  <c r="F33" i="4"/>
  <c r="L33" i="4"/>
  <c r="P35" i="2"/>
  <c r="O17" i="4"/>
  <c r="P17" i="4" s="1"/>
  <c r="M7" i="4"/>
  <c r="M29" i="2"/>
  <c r="L29" i="2" s="1"/>
  <c r="M24" i="2"/>
  <c r="L24" i="2"/>
  <c r="K18" i="2"/>
  <c r="P10" i="2"/>
  <c r="M31" i="4"/>
  <c r="M30" i="2"/>
  <c r="L30" i="2" s="1"/>
  <c r="R30" i="2"/>
  <c r="N32" i="2"/>
  <c r="K32" i="2"/>
  <c r="P32" i="2"/>
  <c r="O32" i="2"/>
  <c r="J32" i="2"/>
  <c r="L24" i="4"/>
  <c r="J24" i="4"/>
  <c r="H24" i="4"/>
  <c r="G24" i="4"/>
  <c r="I24" i="4" s="1"/>
  <c r="F24" i="4"/>
  <c r="M27" i="2"/>
  <c r="L27" i="2"/>
  <c r="L28" i="4"/>
  <c r="J28" i="4"/>
  <c r="H28" i="4"/>
  <c r="G28" i="4"/>
  <c r="I28" i="4" s="1"/>
  <c r="F28" i="4"/>
  <c r="J29" i="4"/>
  <c r="H29" i="4"/>
  <c r="G29" i="4"/>
  <c r="I29" i="4" s="1"/>
  <c r="F29" i="4"/>
  <c r="L29" i="4"/>
  <c r="O16" i="2"/>
  <c r="P16" i="2"/>
  <c r="N16" i="2"/>
  <c r="J16" i="2"/>
  <c r="K7" i="4"/>
  <c r="O13" i="4"/>
  <c r="P13" i="4" s="1"/>
  <c r="K31" i="4"/>
  <c r="N22" i="2"/>
  <c r="P22" i="2"/>
  <c r="O22" i="2"/>
  <c r="P8" i="2"/>
  <c r="O8" i="2"/>
  <c r="N8" i="2"/>
  <c r="J8" i="2"/>
  <c r="N27" i="2"/>
  <c r="K27" i="2"/>
  <c r="K10" i="2"/>
  <c r="M17" i="2"/>
  <c r="L17" i="2" s="1"/>
  <c r="R17" i="2"/>
  <c r="M25" i="4"/>
  <c r="M15" i="4"/>
  <c r="M3" i="4"/>
  <c r="O33" i="2"/>
  <c r="R14" i="2"/>
  <c r="N34" i="2"/>
  <c r="K34" i="2"/>
  <c r="J34" i="2"/>
  <c r="M18" i="2"/>
  <c r="L18" i="2" s="1"/>
  <c r="L16" i="4"/>
  <c r="J16" i="4"/>
  <c r="H16" i="4"/>
  <c r="G16" i="4"/>
  <c r="I16" i="4" s="1"/>
  <c r="F16" i="4"/>
  <c r="K13" i="4"/>
  <c r="N13" i="4" s="1"/>
  <c r="Q13" i="4" s="1"/>
  <c r="N19" i="2"/>
  <c r="K19" i="2"/>
  <c r="K22" i="2"/>
  <c r="K16" i="2"/>
  <c r="K25" i="4"/>
  <c r="K15" i="4"/>
  <c r="M21" i="2"/>
  <c r="L21" i="2" s="1"/>
  <c r="J18" i="2"/>
  <c r="M21" i="4"/>
  <c r="O19" i="2"/>
  <c r="K8" i="2"/>
  <c r="J22" i="2"/>
  <c r="K3" i="4"/>
  <c r="R27" i="2"/>
  <c r="M23" i="2"/>
  <c r="L23" i="2" s="1"/>
  <c r="J35" i="2"/>
  <c r="N35" i="2"/>
  <c r="K35" i="2"/>
  <c r="H22" i="4"/>
  <c r="G22" i="4"/>
  <c r="I22" i="4" s="1"/>
  <c r="F22" i="4"/>
  <c r="L22" i="4"/>
  <c r="J22" i="4"/>
  <c r="H18" i="4"/>
  <c r="G18" i="4"/>
  <c r="I18" i="4" s="1"/>
  <c r="F18" i="4"/>
  <c r="L18" i="4"/>
  <c r="J18" i="4"/>
  <c r="O9" i="4"/>
  <c r="P9" i="4" s="1"/>
  <c r="K9" i="4"/>
  <c r="N9" i="4" s="1"/>
  <c r="Q9" i="4" s="1"/>
  <c r="M23" i="4"/>
  <c r="M5" i="4"/>
  <c r="M19" i="4"/>
  <c r="M11" i="4"/>
  <c r="R18" i="2"/>
  <c r="R15" i="2" l="1"/>
  <c r="M34" i="2"/>
  <c r="L34" i="2" s="1"/>
  <c r="M28" i="4"/>
  <c r="O39" i="2"/>
  <c r="N27" i="4"/>
  <c r="Q27" i="4" s="1"/>
  <c r="M32" i="4"/>
  <c r="O32" i="4" s="1"/>
  <c r="P32" i="4" s="1"/>
  <c r="K18" i="4"/>
  <c r="M24" i="4"/>
  <c r="K20" i="4"/>
  <c r="K6" i="4"/>
  <c r="M6" i="4"/>
  <c r="N6" i="4" s="1"/>
  <c r="Q6" i="4" s="1"/>
  <c r="K39" i="2"/>
  <c r="N39" i="2"/>
  <c r="I44" i="2" s="1"/>
  <c r="K4" i="4"/>
  <c r="K32" i="4"/>
  <c r="R9" i="2"/>
  <c r="J39" i="2"/>
  <c r="L33" i="2"/>
  <c r="R33" i="2"/>
  <c r="K24" i="4"/>
  <c r="N24" i="4" s="1"/>
  <c r="Q24" i="4" s="1"/>
  <c r="M10" i="2"/>
  <c r="L10" i="2"/>
  <c r="R10" i="2"/>
  <c r="S17" i="4"/>
  <c r="H21" i="2" s="1"/>
  <c r="R17" i="4"/>
  <c r="G21" i="2" s="1"/>
  <c r="R20" i="2"/>
  <c r="M20" i="2"/>
  <c r="L20" i="2" s="1"/>
  <c r="M14" i="4"/>
  <c r="M12" i="4"/>
  <c r="S9" i="4"/>
  <c r="H13" i="2" s="1"/>
  <c r="R9" i="4"/>
  <c r="G13" i="2" s="1"/>
  <c r="O21" i="4"/>
  <c r="P21" i="4" s="1"/>
  <c r="N21" i="4"/>
  <c r="Q21" i="4" s="1"/>
  <c r="M22" i="2"/>
  <c r="L22" i="2" s="1"/>
  <c r="R22" i="2"/>
  <c r="M32" i="2"/>
  <c r="L32" i="2"/>
  <c r="R32" i="2"/>
  <c r="O19" i="4"/>
  <c r="P19" i="4" s="1"/>
  <c r="N19" i="4"/>
  <c r="Q19" i="4" s="1"/>
  <c r="M35" i="2"/>
  <c r="L35" i="2" s="1"/>
  <c r="R35" i="2"/>
  <c r="M25" i="2"/>
  <c r="L25" i="2" s="1"/>
  <c r="R25" i="2"/>
  <c r="M26" i="2"/>
  <c r="L26" i="2" s="1"/>
  <c r="R26" i="2"/>
  <c r="K14" i="4"/>
  <c r="M36" i="2"/>
  <c r="L36" i="2" s="1"/>
  <c r="R36" i="2"/>
  <c r="O3" i="4"/>
  <c r="P3" i="4" s="1"/>
  <c r="N3" i="4"/>
  <c r="Q3" i="4" s="1"/>
  <c r="M8" i="2"/>
  <c r="L8" i="2" s="1"/>
  <c r="R8" i="2"/>
  <c r="O31" i="4"/>
  <c r="P31" i="4" s="1"/>
  <c r="N31" i="4"/>
  <c r="Q31" i="4" s="1"/>
  <c r="O7" i="4"/>
  <c r="P7" i="4" s="1"/>
  <c r="N7" i="4"/>
  <c r="Q7" i="4" s="1"/>
  <c r="R28" i="2"/>
  <c r="M37" i="2"/>
  <c r="L37" i="2"/>
  <c r="R37" i="2"/>
  <c r="M8" i="4"/>
  <c r="O11" i="4"/>
  <c r="P11" i="4" s="1"/>
  <c r="N11" i="4"/>
  <c r="Q11" i="4" s="1"/>
  <c r="K22" i="4"/>
  <c r="M16" i="4"/>
  <c r="O15" i="4"/>
  <c r="P15" i="4" s="1"/>
  <c r="N15" i="4"/>
  <c r="Q15" i="4" s="1"/>
  <c r="O25" i="4"/>
  <c r="P25" i="4" s="1"/>
  <c r="N25" i="4"/>
  <c r="Q25" i="4" s="1"/>
  <c r="M16" i="2"/>
  <c r="L16" i="2" s="1"/>
  <c r="R16" i="2"/>
  <c r="M18" i="4"/>
  <c r="K28" i="4"/>
  <c r="M33" i="4"/>
  <c r="R11" i="2"/>
  <c r="M10" i="4"/>
  <c r="M29" i="4"/>
  <c r="K33" i="4"/>
  <c r="M30" i="4"/>
  <c r="M20" i="4"/>
  <c r="K10" i="4"/>
  <c r="K8" i="4"/>
  <c r="M22" i="4"/>
  <c r="O5" i="4"/>
  <c r="P5" i="4" s="1"/>
  <c r="N5" i="4"/>
  <c r="Q5" i="4" s="1"/>
  <c r="K16" i="4"/>
  <c r="S13" i="4"/>
  <c r="H17" i="2" s="1"/>
  <c r="R13" i="4"/>
  <c r="G17" i="2" s="1"/>
  <c r="K29" i="4"/>
  <c r="M26" i="4"/>
  <c r="M4" i="4"/>
  <c r="K30" i="4"/>
  <c r="K12" i="4"/>
  <c r="O28" i="4"/>
  <c r="P28" i="4" s="1"/>
  <c r="N28" i="4"/>
  <c r="Q28" i="4" s="1"/>
  <c r="M13" i="2"/>
  <c r="L13" i="2" s="1"/>
  <c r="R13" i="2"/>
  <c r="O23" i="4"/>
  <c r="P23" i="4" s="1"/>
  <c r="N23" i="4"/>
  <c r="Q23" i="4" s="1"/>
  <c r="S27" i="4"/>
  <c r="H31" i="2" s="1"/>
  <c r="R27" i="4"/>
  <c r="G31" i="2" s="1"/>
  <c r="O24" i="4"/>
  <c r="P24" i="4" s="1"/>
  <c r="K26" i="4"/>
  <c r="N32" i="4" l="1"/>
  <c r="Q32" i="4" s="1"/>
  <c r="L44" i="2"/>
  <c r="O6" i="4"/>
  <c r="P6" i="4" s="1"/>
  <c r="S11" i="4"/>
  <c r="H15" i="2" s="1"/>
  <c r="R11" i="4"/>
  <c r="G15" i="2" s="1"/>
  <c r="R3" i="4"/>
  <c r="G7" i="2" s="1"/>
  <c r="S3" i="4"/>
  <c r="S19" i="4"/>
  <c r="H23" i="2" s="1"/>
  <c r="R19" i="4"/>
  <c r="G23" i="2" s="1"/>
  <c r="S21" i="4"/>
  <c r="H25" i="2" s="1"/>
  <c r="R21" i="4"/>
  <c r="G25" i="2" s="1"/>
  <c r="S24" i="4"/>
  <c r="H28" i="2" s="1"/>
  <c r="R24" i="4"/>
  <c r="G28" i="2" s="1"/>
  <c r="R6" i="4"/>
  <c r="G10" i="2" s="1"/>
  <c r="S6" i="4"/>
  <c r="H10" i="2" s="1"/>
  <c r="O4" i="4"/>
  <c r="P4" i="4" s="1"/>
  <c r="N4" i="4"/>
  <c r="Q4" i="4" s="1"/>
  <c r="O22" i="4"/>
  <c r="P22" i="4" s="1"/>
  <c r="N22" i="4"/>
  <c r="Q22" i="4" s="1"/>
  <c r="O26" i="4"/>
  <c r="P26" i="4" s="1"/>
  <c r="N26" i="4"/>
  <c r="Q26" i="4" s="1"/>
  <c r="S7" i="4"/>
  <c r="R7" i="4"/>
  <c r="G11" i="2" s="1"/>
  <c r="S25" i="4"/>
  <c r="H29" i="2" s="1"/>
  <c r="R25" i="4"/>
  <c r="G29" i="2" s="1"/>
  <c r="O12" i="4"/>
  <c r="P12" i="4" s="1"/>
  <c r="N12" i="4"/>
  <c r="Q12" i="4" s="1"/>
  <c r="S31" i="4"/>
  <c r="H35" i="2" s="1"/>
  <c r="R31" i="4"/>
  <c r="G35" i="2" s="1"/>
  <c r="O14" i="4"/>
  <c r="P14" i="4" s="1"/>
  <c r="N14" i="4"/>
  <c r="Q14" i="4" s="1"/>
  <c r="S23" i="4"/>
  <c r="H27" i="2" s="1"/>
  <c r="R23" i="4"/>
  <c r="G27" i="2" s="1"/>
  <c r="S15" i="4"/>
  <c r="R15" i="4"/>
  <c r="G19" i="2" s="1"/>
  <c r="S5" i="4"/>
  <c r="H9" i="2" s="1"/>
  <c r="R5" i="4"/>
  <c r="G9" i="2" s="1"/>
  <c r="O10" i="4"/>
  <c r="P10" i="4" s="1"/>
  <c r="N10" i="4"/>
  <c r="Q10" i="4" s="1"/>
  <c r="O30" i="4"/>
  <c r="P30" i="4" s="1"/>
  <c r="N30" i="4"/>
  <c r="Q30" i="4" s="1"/>
  <c r="S28" i="4"/>
  <c r="H32" i="2" s="1"/>
  <c r="R28" i="4"/>
  <c r="G32" i="2" s="1"/>
  <c r="O18" i="4"/>
  <c r="P18" i="4" s="1"/>
  <c r="N18" i="4"/>
  <c r="Q18" i="4" s="1"/>
  <c r="O16" i="4"/>
  <c r="P16" i="4" s="1"/>
  <c r="N16" i="4"/>
  <c r="Q16" i="4" s="1"/>
  <c r="O8" i="4"/>
  <c r="P8" i="4" s="1"/>
  <c r="N8" i="4"/>
  <c r="Q8" i="4" s="1"/>
  <c r="O20" i="4"/>
  <c r="P20" i="4" s="1"/>
  <c r="N20" i="4"/>
  <c r="Q20" i="4" s="1"/>
  <c r="O33" i="4"/>
  <c r="P33" i="4" s="1"/>
  <c r="N33" i="4"/>
  <c r="Q33" i="4" s="1"/>
  <c r="S32" i="4"/>
  <c r="H36" i="2" s="1"/>
  <c r="R32" i="4"/>
  <c r="G36" i="2" s="1"/>
  <c r="O29" i="4"/>
  <c r="P29" i="4" s="1"/>
  <c r="N29" i="4"/>
  <c r="Q29" i="4" s="1"/>
  <c r="S12" i="4" l="1"/>
  <c r="H16" i="2" s="1"/>
  <c r="R12" i="4"/>
  <c r="G16" i="2" s="1"/>
  <c r="S29" i="4"/>
  <c r="H33" i="2" s="1"/>
  <c r="R29" i="4"/>
  <c r="G33" i="2" s="1"/>
  <c r="S16" i="4"/>
  <c r="H20" i="2" s="1"/>
  <c r="R16" i="4"/>
  <c r="G20" i="2" s="1"/>
  <c r="R10" i="4"/>
  <c r="G14" i="2" s="1"/>
  <c r="S10" i="4"/>
  <c r="R14" i="4"/>
  <c r="G18" i="2" s="1"/>
  <c r="S14" i="4"/>
  <c r="H18" i="2" s="1"/>
  <c r="H11" i="2"/>
  <c r="M11" i="2"/>
  <c r="L11" i="2" s="1"/>
  <c r="R30" i="4"/>
  <c r="G34" i="2" s="1"/>
  <c r="S30" i="4"/>
  <c r="H34" i="2" s="1"/>
  <c r="H7" i="2"/>
  <c r="M7" i="2"/>
  <c r="S22" i="4"/>
  <c r="H26" i="2" s="1"/>
  <c r="R22" i="4"/>
  <c r="G26" i="2" s="1"/>
  <c r="R8" i="4"/>
  <c r="G12" i="2" s="1"/>
  <c r="S8" i="4"/>
  <c r="H12" i="2" s="1"/>
  <c r="S33" i="4"/>
  <c r="H37" i="2" s="1"/>
  <c r="R33" i="4"/>
  <c r="G37" i="2" s="1"/>
  <c r="R18" i="4"/>
  <c r="G22" i="2" s="1"/>
  <c r="S18" i="4"/>
  <c r="H22" i="2" s="1"/>
  <c r="S26" i="4"/>
  <c r="H30" i="2" s="1"/>
  <c r="R26" i="4"/>
  <c r="G30" i="2" s="1"/>
  <c r="S20" i="4"/>
  <c r="H24" i="2" s="1"/>
  <c r="R20" i="4"/>
  <c r="G24" i="2" s="1"/>
  <c r="H19" i="2"/>
  <c r="M19" i="2"/>
  <c r="L19" i="2" s="1"/>
  <c r="S4" i="4"/>
  <c r="H8" i="2" s="1"/>
  <c r="R4" i="4"/>
  <c r="G8" i="2" s="1"/>
  <c r="M28" i="2"/>
  <c r="L28" i="2" s="1"/>
  <c r="L7" i="2" l="1"/>
  <c r="H14" i="2"/>
  <c r="M14" i="2"/>
  <c r="L14" i="2" s="1"/>
  <c r="L39" i="2" l="1"/>
  <c r="M39" i="2"/>
  <c r="L43" i="2" l="1"/>
  <c r="I43" i="2"/>
  <c r="I42" i="2"/>
  <c r="L42" i="2"/>
  <c r="L45" i="2" l="1"/>
</calcChain>
</file>

<file path=xl/sharedStrings.xml><?xml version="1.0" encoding="utf-8"?>
<sst xmlns="http://schemas.openxmlformats.org/spreadsheetml/2006/main" count="131" uniqueCount="127">
  <si>
    <t>شيت الحضور والانصراف والأوفرتايم · قانون العمل 14 لسنة 2025</t>
  </si>
  <si>
    <t>اكتب في الخانات الصفرا بس. كل الباقي معادلات بتتحسب لوحدها.</t>
  </si>
  <si>
    <t>اسم الشركة</t>
  </si>
  <si>
    <t>شركة الأفق للصناعات</t>
  </si>
  <si>
    <t>اسم الموظف</t>
  </si>
  <si>
    <t>زياد محمد فتحي</t>
  </si>
  <si>
    <t>الشهر (اكتب أول يوم في الشهر)</t>
  </si>
  <si>
    <t>الشيت بيعمل أيام الشهر كلها لوحده من التاريخ ده.</t>
  </si>
  <si>
    <t>المدينة</t>
  </si>
  <si>
    <t>القاهرة</t>
  </si>
  <si>
    <t>ميعاد الغروب بيختلف من مدينة لمدينة. لو مدينتك مش في القايمة اختار «إحداثيات مخصصة» واكتب خط العرض والطول تحت.</t>
  </si>
  <si>
    <t>خط العرض (لو اخترت إحداثيات مخصصة)</t>
  </si>
  <si>
    <t>مثال: 30.0444</t>
  </si>
  <si>
    <t>خط الطول (لو اخترت إحداثيات مخصصة)</t>
  </si>
  <si>
    <t>مثال: 31.2357</t>
  </si>
  <si>
    <t>ميعاد الحضور في الوردية</t>
  </si>
  <si>
    <t>ميعاد الانصراف في الوردية</t>
  </si>
  <si>
    <t>الوقت ما بين الميعادين ده اليوم العادي، واللي بعده أوفرتايم.</t>
  </si>
  <si>
    <t>سماح التأخير (دقيقة)</t>
  </si>
  <si>
    <t>لو التأخير في حدود السماح مايتحسبش. لو عدّاه يتحسب من أول الوردية. القانون ماحددش سماح، ده من لايحة الشركة.</t>
  </si>
  <si>
    <t>سماح الأوفرتايم (دقيقة)</t>
  </si>
  <si>
    <t>الدقايق دي بتتشال من أول الأوفرتايم في كل يوم شغل.</t>
  </si>
  <si>
    <t>يوم الراحة الأسبوعي</t>
  </si>
  <si>
    <t>الجمعة</t>
  </si>
  <si>
    <t>المادة 120: راحة أسبوعية مدفوعة لا تقل عن 24 ساعة.</t>
  </si>
  <si>
    <t>يوم راحة تاني (لو موجود)</t>
  </si>
  <si>
    <t>سيبه فاضي لو الراحة يوم واحد.</t>
  </si>
  <si>
    <t>الأجر الشهري (للحساب بس)</t>
  </si>
  <si>
    <t>عدد الأيام في حساب أجر اليوم</t>
  </si>
  <si>
    <t>القانون ماحددش معادلة لأجر الساعة. فيه اللي بيقسم على 30 (أيام الشهر كلها، لأن الراحة الأسبوعية مدفوعة)، وفيه اللي بيقسم على 26 (أيام الشغل بس). اكتب الرقم اللي في لايحة شركتك.</t>
  </si>
  <si>
    <t>أجر الساعة الأصلي (جنيه)</t>
  </si>
  <si>
    <t>محسوب من الخانات اللي فوق. تقدر تكتب فوقه رقم تاني.</t>
  </si>
  <si>
    <t>زيادة ساعة الأوفرتايم النهاري</t>
  </si>
  <si>
    <t>المادة 121: لا تقل عن 35% فوق أجر الساعة الأصلي.</t>
  </si>
  <si>
    <t>زيادة ساعة الأوفرتايم الليلي</t>
  </si>
  <si>
    <t>المادة 121: لا تقل عن 70%. والليل في المادة 1 بند 12 «الفترة ما بين غروب الشمس وشروقها».</t>
  </si>
  <si>
    <t>معامل ساعة الشغل يوم الراحة</t>
  </si>
  <si>
    <t>المادة 121: الشغل يوم الراحة ليه «مثل أجره» ويوم راحة بديل. الشيت بيحسبه ×2 (أجره ومثله)، وتقدر تغيّره.</t>
  </si>
  <si>
    <t>خط العرض المستخدم</t>
  </si>
  <si>
    <t>خط الطول المستخدم</t>
  </si>
  <si>
    <t>ساعات اليوم العادي</t>
  </si>
  <si>
    <t>ملحوظة: الشيت ده للحساب والتوعية، مش استشارة قانونية. الخصم على التأخير والغياب بيتحدد من لايحة الجزاءات المعتمدة في شركتك (المادة 139)، فالشيت بيعدّ الدقايق بس.</t>
  </si>
  <si>
    <t>معمول بواسطة نِظام HR · لو عندك موظفين كتير أو جهاز بصمة، نِظام بيحسب ده لوحده لكل الموظفين: nidhamhr.com</t>
  </si>
  <si>
    <t>كشف الحضور والانصراف والأوفرتايم · قانون العمل 14 لسنة 2025</t>
  </si>
  <si>
    <t>اكتب الدخول والخروج في الخانات الصفرا (زي 09:05). الليلي = كل دقيقة أوفرتايم بعد الغروب أو قبل الشروق في اليوم ده (المادة 1 بند 12 والمادة 121).</t>
  </si>
  <si>
    <t>التاريخ</t>
  </si>
  <si>
    <t>اليوم</t>
  </si>
  <si>
    <t>الدخول</t>
  </si>
  <si>
    <t>الخروج</t>
  </si>
  <si>
    <t>إجازة رسمية؟</t>
  </si>
  <si>
    <t>نوع اليوم</t>
  </si>
  <si>
    <t>الشروق</t>
  </si>
  <si>
    <t>الغروب</t>
  </si>
  <si>
    <t>ساعات الشغل</t>
  </si>
  <si>
    <t>تأخير (دقيقة)</t>
  </si>
  <si>
    <t>انصراف بدري (دقيقة)</t>
  </si>
  <si>
    <t>أوفرتايم نهاري (دقيقة)</t>
  </si>
  <si>
    <t>أوفرتايم ليلي (دقيقة)</t>
  </si>
  <si>
    <t>شغل يوم راحة (دقيقة)</t>
  </si>
  <si>
    <t>ملاحظة</t>
  </si>
  <si>
    <t>أوفرتايم كله</t>
  </si>
  <si>
    <t>الخروج بالدقيقة</t>
  </si>
  <si>
    <t>بداية الأوفرتايم</t>
  </si>
  <si>
    <t>الإجمالي</t>
  </si>
  <si>
    <t>الساعات</t>
  </si>
  <si>
    <t>معامل الساعة</t>
  </si>
  <si>
    <t>القيمة (جنيه)</t>
  </si>
  <si>
    <t>أوفرتايم نهاري</t>
  </si>
  <si>
    <t>أوفرتايم ليلي (بعد الغروب)</t>
  </si>
  <si>
    <t>شغل يوم راحة</t>
  </si>
  <si>
    <t>إجمالي الأوفرتايم</t>
  </si>
  <si>
    <t>التأخير والغياب متعدّين هنا بالدقيقة بس: الخصم بيتحسب من لايحة الجزاءات المعتمدة في شركتك (المادة 139). الشيت للحساب والتوعية، مش استشارة قانونية.</t>
  </si>
  <si>
    <t>معمول بواسطة نِظام HR · لو عندك موظفين كتير أو جهاز بصمة ZKTeco، نِظام بيحسب الكلام ده لكل الموظفين لوحده: nidhamhr.com</t>
  </si>
  <si>
    <t>خط العرض</t>
  </si>
  <si>
    <t>خط الطول</t>
  </si>
  <si>
    <t>الجيزة</t>
  </si>
  <si>
    <t>6 أكتوبر</t>
  </si>
  <si>
    <t>العبور</t>
  </si>
  <si>
    <t>العاشر من رمضان</t>
  </si>
  <si>
    <t>بدر</t>
  </si>
  <si>
    <t>السادات</t>
  </si>
  <si>
    <t>بنها</t>
  </si>
  <si>
    <t>شبين الكوم</t>
  </si>
  <si>
    <t>الإسكندرية</t>
  </si>
  <si>
    <t>برج العرب</t>
  </si>
  <si>
    <t>دمنهور</t>
  </si>
  <si>
    <t>طنطا</t>
  </si>
  <si>
    <t>المحلة الكبرى</t>
  </si>
  <si>
    <t>كفر الشيخ</t>
  </si>
  <si>
    <t>المنصورة</t>
  </si>
  <si>
    <t>دمياط</t>
  </si>
  <si>
    <t>الزقازيق</t>
  </si>
  <si>
    <t>الإسماعيلية</t>
  </si>
  <si>
    <t>بورسعيد</t>
  </si>
  <si>
    <t>السويس</t>
  </si>
  <si>
    <t>العين السخنة</t>
  </si>
  <si>
    <t>الفيوم</t>
  </si>
  <si>
    <t>بني سويف</t>
  </si>
  <si>
    <t>المنيا</t>
  </si>
  <si>
    <t>أسيوط</t>
  </si>
  <si>
    <t>سوهاج</t>
  </si>
  <si>
    <t>قنا</t>
  </si>
  <si>
    <t>الأقصر</t>
  </si>
  <si>
    <t>أسوان</t>
  </si>
  <si>
    <t>الغردقة</t>
  </si>
  <si>
    <t>شرم الشيخ</t>
  </si>
  <si>
    <t>مرسى مطروح</t>
  </si>
  <si>
    <t>العريش</t>
  </si>
  <si>
    <t>إحداثيات مخصصة</t>
  </si>
  <si>
    <t>معادلات الشروق والغروب (NOAA Solar Calculator) لكل يوم في الشهر، بالساعة المحلية في مصر شاملة التوقيت الصيفي. مش محتاج تلمس الصفحة دي.</t>
  </si>
  <si>
    <t>فرق التوقيت</t>
  </si>
  <si>
    <t>JD</t>
  </si>
  <si>
    <t>T</t>
  </si>
  <si>
    <t>L0</t>
  </si>
  <si>
    <t>M</t>
  </si>
  <si>
    <t>e</t>
  </si>
  <si>
    <t>C</t>
  </si>
  <si>
    <t>Ω</t>
  </si>
  <si>
    <t>الطول الظاهري</t>
  </si>
  <si>
    <t>الميل المتوسط</t>
  </si>
  <si>
    <t>الميل</t>
  </si>
  <si>
    <t>الانحراف</t>
  </si>
  <si>
    <t>y</t>
  </si>
  <si>
    <t>معادلة الزمن</t>
  </si>
  <si>
    <t>زاوية الساعة</t>
  </si>
  <si>
    <t>الشروق (دقيقة)</t>
  </si>
  <si>
    <t>الغروب (دقيقة)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</si>
</sst>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mm\-dd"/>
    <numFmt numFmtId="165" formatCode="0.0000"/>
    <numFmt numFmtId="166" formatCode="hh:mm"/>
    <numFmt numFmtId="167" formatCode="dd/mm"/>
    <numFmt numFmtId="168" formatCode="[h]:mm"/>
    <numFmt numFmtId="169" formatCode="0;\-0;;@"/>
  </numFmts>
  <fonts count="13" x14ac:knownFonts="1">
    <font>
      <sz val="11"/>
      <color theme="1"/>
      <name val="Calibri"/>
      <family val="2"/>
      <scheme val="minor"/>
    </font>
    <font>
      <b/>
      <sz val="15"/>
      <color rgb="FFFFFFFF"/>
      <name val="Tahoma"/>
    </font>
    <font>
      <sz val="10"/>
      <color rgb="FF374151"/>
      <name val="Tahoma"/>
    </font>
    <font>
      <b/>
      <sz val="11"/>
      <color rgb="FF1F2937"/>
      <name val="Tahoma"/>
    </font>
    <font>
      <sz val="11"/>
      <color rgb="FF1F2937"/>
      <name val="Tahoma"/>
    </font>
    <font>
      <sz val="9"/>
      <color rgb="FF4B5563"/>
      <name val="Tahoma"/>
    </font>
    <font>
      <b/>
      <sz val="10"/>
      <color rgb="FF0E7490"/>
      <name val="Tahoma"/>
    </font>
    <font>
      <b/>
      <sz val="11"/>
      <color rgb="FFFFFFFF"/>
      <name val="Tahoma"/>
    </font>
    <font>
      <b/>
      <sz val="9"/>
      <color rgb="FFFFFFFF"/>
      <name val="Tahoma"/>
    </font>
    <font>
      <sz val="9"/>
      <color rgb="FF1F2937"/>
      <name val="Tahoma"/>
    </font>
    <font>
      <b/>
      <sz val="14"/>
      <color rgb="FFFFFFFF"/>
      <name val="Tahoma"/>
    </font>
    <font>
      <sz val="10"/>
      <color rgb="FF1F2937"/>
      <name val="Tahoma"/>
    </font>
    <font>
      <b/>
      <sz val="9"/>
      <color rgb="FF1F2937"/>
      <name val="Tahoma"/>
    </font>
  </fonts>
  <fills count="6">
    <fill>
      <patternFill patternType="none"/>
    </fill>
    <fill>
      <patternFill patternType="gray125"/>
    </fill>
    <fill>
      <patternFill patternType="solid">
        <fgColor rgb="FF0B1B2B"/>
      </patternFill>
    </fill>
    <fill>
      <patternFill patternType="solid">
        <fgColor rgb="FFEEF6F8"/>
      </patternFill>
    </fill>
    <fill>
      <patternFill patternType="solid">
        <fgColor rgb="FFFFF7D6"/>
      </patternFill>
    </fill>
    <fill>
      <patternFill patternType="solid">
        <fgColor rgb="FF6B7280"/>
      </patternFill>
    </fill>
  </fills>
  <borders count="2">
    <border>
      <left/>
      <right/>
      <top/>
      <bottom/>
      <diagonal/>
    </border>
    <border>
      <left style="thin">
        <color rgb="FFC9D3DA"/>
      </left>
      <right style="thin">
        <color rgb="FFC9D3DA"/>
      </right>
      <top style="thin">
        <color rgb="FFC9D3DA"/>
      </top>
      <bottom style="thin">
        <color rgb="FFC9D3DA"/>
      </bottom>
      <diagonal/>
    </border>
  </borders>
  <cellStyleXfs count="1">
    <xf numFmtId="0" fontId="0" fillId="0" borderId="0"/>
  </cellStyleXfs>
  <cellXfs count="49">
    <xf numFmtId="0" fontId="0" fillId="0" borderId="0" xfId="0"/>
    <xf numFmtId="0" fontId="3" fillId="3" borderId="1" xfId="0" applyFont="1" applyFill="1" applyBorder="1" applyAlignment="1">
      <alignment horizontal="right" vertical="center" wrapText="1" readingOrder="2"/>
    </xf>
    <xf numFmtId="49" fontId="4" fillId="4" borderId="1" xfId="0" applyNumberFormat="1" applyFont="1" applyFill="1" applyBorder="1" applyAlignment="1" applyProtection="1">
      <alignment horizontal="center" vertical="center" wrapText="1"/>
      <protection locked="0"/>
    </xf>
    <xf numFmtId="164" fontId="4" fillId="4" borderId="1" xfId="0" applyNumberFormat="1" applyFont="1" applyFill="1" applyBorder="1" applyAlignment="1" applyProtection="1">
      <alignment horizontal="center" vertical="center" wrapText="1"/>
      <protection locked="0"/>
    </xf>
    <xf numFmtId="0" fontId="5" fillId="0" borderId="0" xfId="0" applyFont="1" applyAlignment="1">
      <alignment horizontal="right" vertical="center" wrapText="1" readingOrder="2"/>
    </xf>
    <xf numFmtId="165" fontId="4" fillId="4" borderId="1" xfId="0" applyNumberFormat="1" applyFont="1" applyFill="1" applyBorder="1" applyAlignment="1" applyProtection="1">
      <alignment horizontal="center" vertical="center" wrapText="1"/>
      <protection locked="0"/>
    </xf>
    <xf numFmtId="166" fontId="4" fillId="4" borderId="1" xfId="0" applyNumberFormat="1" applyFont="1" applyFill="1" applyBorder="1" applyAlignment="1" applyProtection="1">
      <alignment horizontal="center" vertical="center" wrapText="1"/>
      <protection locked="0"/>
    </xf>
    <xf numFmtId="1" fontId="4" fillId="4" borderId="1" xfId="0" applyNumberFormat="1" applyFont="1" applyFill="1" applyBorder="1" applyAlignment="1" applyProtection="1">
      <alignment horizontal="center" vertical="center" wrapText="1"/>
      <protection locked="0"/>
    </xf>
    <xf numFmtId="4" fontId="4" fillId="4" borderId="1" xfId="0" applyNumberFormat="1" applyFont="1" applyFill="1" applyBorder="1" applyAlignment="1" applyProtection="1">
      <alignment horizontal="center" vertical="center" wrapText="1"/>
      <protection locked="0"/>
    </xf>
    <xf numFmtId="9" fontId="4" fillId="4" borderId="1" xfId="0" applyNumberFormat="1" applyFont="1" applyFill="1" applyBorder="1" applyAlignment="1" applyProtection="1">
      <alignment horizontal="center" vertical="center" wrapText="1"/>
      <protection locked="0"/>
    </xf>
    <xf numFmtId="2" fontId="4" fillId="4" borderId="1" xfId="0" applyNumberFormat="1" applyFont="1" applyFill="1" applyBorder="1" applyAlignment="1" applyProtection="1">
      <alignment horizontal="center" vertical="center" wrapText="1"/>
      <protection locked="0"/>
    </xf>
    <xf numFmtId="0" fontId="4" fillId="3" borderId="1" xfId="0" applyFont="1" applyFill="1" applyBorder="1" applyAlignment="1">
      <alignment horizontal="right" vertical="center" wrapText="1" readingOrder="2"/>
    </xf>
    <xf numFmtId="165"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8" fillId="2"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167"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166" fontId="11" fillId="4" borderId="1" xfId="0" applyNumberFormat="1" applyFont="1" applyFill="1" applyBorder="1" applyAlignment="1" applyProtection="1">
      <alignment horizontal="center" vertical="center" wrapText="1"/>
      <protection locked="0"/>
    </xf>
    <xf numFmtId="49" fontId="11" fillId="4" borderId="1" xfId="0" applyNumberFormat="1" applyFont="1" applyFill="1" applyBorder="1" applyAlignment="1" applyProtection="1">
      <alignment horizontal="center" vertical="center" wrapText="1"/>
      <protection locked="0"/>
    </xf>
    <xf numFmtId="166" fontId="11" fillId="3" borderId="1" xfId="0" applyNumberFormat="1" applyFont="1" applyFill="1" applyBorder="1" applyAlignment="1">
      <alignment horizontal="center" vertical="center" wrapText="1"/>
    </xf>
    <xf numFmtId="168" fontId="11" fillId="0" borderId="1" xfId="0" applyNumberFormat="1" applyFont="1" applyBorder="1" applyAlignment="1">
      <alignment horizontal="center" vertical="center" wrapText="1"/>
    </xf>
    <xf numFmtId="169" fontId="11" fillId="0" borderId="1" xfId="0" applyNumberFormat="1" applyFont="1" applyBorder="1" applyAlignment="1">
      <alignment horizontal="center" vertical="center" wrapText="1"/>
    </xf>
    <xf numFmtId="1" fontId="11"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1" fontId="3" fillId="3"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2" fontId="3" fillId="3" borderId="1" xfId="0" applyNumberFormat="1" applyFont="1" applyFill="1" applyBorder="1" applyAlignment="1">
      <alignment horizontal="center" vertical="center" wrapText="1"/>
    </xf>
    <xf numFmtId="1"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0" fontId="5" fillId="0" borderId="0" xfId="0" applyFont="1" applyAlignment="1">
      <alignment horizontal="right" vertical="center" wrapText="1" readingOrder="2"/>
    </xf>
    <xf numFmtId="0" fontId="0" fillId="0" borderId="0" xfId="0"/>
    <xf numFmtId="0" fontId="2" fillId="0" borderId="0" xfId="0" applyFont="1" applyAlignment="1">
      <alignment horizontal="center" vertical="center" wrapText="1"/>
    </xf>
    <xf numFmtId="0" fontId="1" fillId="2" borderId="0" xfId="0" applyFont="1" applyFill="1" applyAlignment="1">
      <alignment horizontal="center" vertical="center" wrapText="1"/>
    </xf>
    <xf numFmtId="0" fontId="6" fillId="0" borderId="0" xfId="0" applyFont="1" applyAlignment="1">
      <alignment horizontal="right" vertical="center" wrapText="1" readingOrder="2"/>
    </xf>
    <xf numFmtId="2"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4"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0" xfId="0" applyFont="1" applyAlignment="1">
      <alignment horizontal="center" vertical="center" wrapText="1"/>
    </xf>
    <xf numFmtId="0" fontId="7" fillId="2" borderId="1" xfId="0" applyFont="1" applyFill="1" applyBorder="1" applyAlignment="1">
      <alignment horizontal="center" vertical="center" wrapText="1"/>
    </xf>
    <xf numFmtId="0" fontId="5" fillId="0" borderId="0" xfId="0" applyFont="1" applyAlignment="1">
      <alignment horizontal="center" vertical="center" wrapText="1"/>
    </xf>
    <xf numFmtId="2" fontId="3" fillId="3"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horizontal="center" vertical="center" wrapText="1"/>
    </xf>
    <xf numFmtId="0" fontId="10" fillId="2" borderId="0" xfId="0" applyFont="1" applyFill="1" applyAlignment="1">
      <alignment horizontal="center" vertical="center" wrapText="1"/>
    </xf>
    <xf numFmtId="0" fontId="2" fillId="0" borderId="0" xfId="0" applyFont="1" applyAlignment="1">
      <alignment horizontal="right" vertical="center" wrapText="1" readingOrder="2"/>
    </xf>
  </cellXfs>
  <cellStyles count="1">
    <cellStyle name="Normal" xfId="0" builtinId="0"/>
  </cellStyles>
  <dxfs count="2">
    <dxf>
      <font>
        <b/>
        <color rgb="FFB91C1C"/>
        <name val="Tahoma"/>
      </font>
    </dxf>
    <dxf>
      <fill>
        <patternFill patternType="solid">
          <bgColor rgb="FFE5E7EB"/>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nidhamhr.com/?utm_source=attendance_sheet&amp;utm_medium=xlsx&amp;utm_campaign=free_shee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nidhamhr.com/?utm_source=attendance_sheet&amp;utm_medium=xlsx&amp;utm_campaign=free_she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3"/>
  <sheetViews>
    <sheetView showGridLines="0" rightToLeft="1" workbookViewId="0"/>
  </sheetViews>
  <sheetFormatPr defaultRowHeight="14.4" x14ac:dyDescent="0.3"/>
  <cols>
    <col min="1" max="1" width="3" customWidth="1"/>
    <col min="2" max="2" width="34" customWidth="1"/>
    <col min="3" max="3" width="24" customWidth="1"/>
    <col min="4" max="4" width="62" customWidth="1"/>
  </cols>
  <sheetData>
    <row r="2" spans="2:4" ht="34.049999999999997" customHeight="1" x14ac:dyDescent="0.3">
      <c r="B2" s="35" t="s">
        <v>0</v>
      </c>
      <c r="C2" s="33"/>
      <c r="D2" s="33"/>
    </row>
    <row r="3" spans="2:4" x14ac:dyDescent="0.3">
      <c r="B3" s="34" t="s">
        <v>1</v>
      </c>
      <c r="C3" s="33"/>
      <c r="D3" s="33"/>
    </row>
    <row r="5" spans="2:4" ht="30" customHeight="1" x14ac:dyDescent="0.3">
      <c r="B5" s="1" t="s">
        <v>2</v>
      </c>
      <c r="C5" s="2" t="s">
        <v>3</v>
      </c>
    </row>
    <row r="6" spans="2:4" ht="30" customHeight="1" x14ac:dyDescent="0.3">
      <c r="B6" s="1" t="s">
        <v>4</v>
      </c>
      <c r="C6" s="2" t="s">
        <v>5</v>
      </c>
    </row>
    <row r="7" spans="2:4" ht="30" customHeight="1" x14ac:dyDescent="0.3">
      <c r="B7" s="1" t="s">
        <v>6</v>
      </c>
      <c r="C7" s="3">
        <v>46296</v>
      </c>
      <c r="D7" s="4" t="s">
        <v>7</v>
      </c>
    </row>
    <row r="8" spans="2:4" ht="42" customHeight="1" x14ac:dyDescent="0.3">
      <c r="B8" s="1" t="s">
        <v>8</v>
      </c>
      <c r="C8" s="2" t="s">
        <v>9</v>
      </c>
      <c r="D8" s="4" t="s">
        <v>10</v>
      </c>
    </row>
    <row r="9" spans="2:4" ht="30" customHeight="1" x14ac:dyDescent="0.3">
      <c r="B9" s="1" t="s">
        <v>11</v>
      </c>
      <c r="C9" s="5"/>
      <c r="D9" s="4" t="s">
        <v>12</v>
      </c>
    </row>
    <row r="10" spans="2:4" ht="30" customHeight="1" x14ac:dyDescent="0.3">
      <c r="B10" s="1" t="s">
        <v>13</v>
      </c>
      <c r="C10" s="5"/>
      <c r="D10" s="4" t="s">
        <v>14</v>
      </c>
    </row>
    <row r="12" spans="2:4" ht="30" customHeight="1" x14ac:dyDescent="0.3">
      <c r="B12" s="1" t="s">
        <v>15</v>
      </c>
      <c r="C12" s="6">
        <v>0.375</v>
      </c>
    </row>
    <row r="13" spans="2:4" ht="30" customHeight="1" x14ac:dyDescent="0.3">
      <c r="B13" s="1" t="s">
        <v>16</v>
      </c>
      <c r="C13" s="6">
        <v>0.70833333333333337</v>
      </c>
      <c r="D13" s="4" t="s">
        <v>17</v>
      </c>
    </row>
    <row r="14" spans="2:4" ht="42" customHeight="1" x14ac:dyDescent="0.3">
      <c r="B14" s="1" t="s">
        <v>18</v>
      </c>
      <c r="C14" s="7">
        <v>15</v>
      </c>
      <c r="D14" s="4" t="s">
        <v>19</v>
      </c>
    </row>
    <row r="15" spans="2:4" ht="30" customHeight="1" x14ac:dyDescent="0.3">
      <c r="B15" s="1" t="s">
        <v>20</v>
      </c>
      <c r="C15" s="7">
        <v>0</v>
      </c>
      <c r="D15" s="4" t="s">
        <v>21</v>
      </c>
    </row>
    <row r="16" spans="2:4" ht="30" customHeight="1" x14ac:dyDescent="0.3">
      <c r="B16" s="1" t="s">
        <v>22</v>
      </c>
      <c r="C16" s="2" t="s">
        <v>23</v>
      </c>
      <c r="D16" s="4" t="s">
        <v>24</v>
      </c>
    </row>
    <row r="17" spans="2:4" ht="30" customHeight="1" x14ac:dyDescent="0.3">
      <c r="B17" s="1" t="s">
        <v>25</v>
      </c>
      <c r="C17" s="2"/>
      <c r="D17" s="4" t="s">
        <v>26</v>
      </c>
    </row>
    <row r="19" spans="2:4" ht="30" customHeight="1" x14ac:dyDescent="0.3">
      <c r="B19" s="1" t="s">
        <v>27</v>
      </c>
      <c r="C19" s="8">
        <v>12000</v>
      </c>
    </row>
    <row r="20" spans="2:4" ht="42" customHeight="1" x14ac:dyDescent="0.3">
      <c r="B20" s="1" t="s">
        <v>28</v>
      </c>
      <c r="C20" s="7">
        <v>30</v>
      </c>
      <c r="D20" s="4" t="s">
        <v>29</v>
      </c>
    </row>
    <row r="21" spans="2:4" ht="30" customHeight="1" x14ac:dyDescent="0.3">
      <c r="B21" s="1" t="s">
        <v>30</v>
      </c>
      <c r="C21" s="8">
        <f>ROUND(MonthlyWage/WageDays/((ShiftEnd-ShiftStart)*24),2)</f>
        <v>50</v>
      </c>
      <c r="D21" s="4" t="s">
        <v>31</v>
      </c>
    </row>
    <row r="23" spans="2:4" ht="30" customHeight="1" x14ac:dyDescent="0.3">
      <c r="B23" s="1" t="s">
        <v>32</v>
      </c>
      <c r="C23" s="9">
        <v>0.35</v>
      </c>
      <c r="D23" s="4" t="s">
        <v>33</v>
      </c>
    </row>
    <row r="24" spans="2:4" ht="42" customHeight="1" x14ac:dyDescent="0.3">
      <c r="B24" s="1" t="s">
        <v>34</v>
      </c>
      <c r="C24" s="9">
        <v>0.7</v>
      </c>
      <c r="D24" s="4" t="s">
        <v>35</v>
      </c>
    </row>
    <row r="25" spans="2:4" ht="42" customHeight="1" x14ac:dyDescent="0.3">
      <c r="B25" s="1" t="s">
        <v>36</v>
      </c>
      <c r="C25" s="10">
        <v>2</v>
      </c>
      <c r="D25" s="4" t="s">
        <v>37</v>
      </c>
    </row>
    <row r="27" spans="2:4" x14ac:dyDescent="0.3">
      <c r="B27" s="11" t="s">
        <v>38</v>
      </c>
      <c r="C27" s="12">
        <f>IF(City="إحداثيات مخصصة",CustomLat,VLOOKUP(City,المدن!$A$2:$C$60,2,FALSE))</f>
        <v>30.0444</v>
      </c>
    </row>
    <row r="28" spans="2:4" x14ac:dyDescent="0.3">
      <c r="B28" s="11" t="s">
        <v>39</v>
      </c>
      <c r="C28" s="12">
        <f>IF(City="إحداثيات مخصصة",CustomLng,VLOOKUP(City,المدن!$A$2:$C$60,3,FALSE))</f>
        <v>31.235700000000001</v>
      </c>
    </row>
    <row r="29" spans="2:4" x14ac:dyDescent="0.3">
      <c r="B29" s="11" t="s">
        <v>40</v>
      </c>
      <c r="C29" s="13">
        <f>(ShiftEnd-ShiftStart)*24</f>
        <v>8</v>
      </c>
    </row>
    <row r="31" spans="2:4" ht="34.049999999999997" customHeight="1" x14ac:dyDescent="0.3">
      <c r="B31" s="32" t="s">
        <v>41</v>
      </c>
      <c r="C31" s="33"/>
      <c r="D31" s="33"/>
    </row>
    <row r="33" spans="2:4" x14ac:dyDescent="0.3">
      <c r="B33" s="36" t="s">
        <v>42</v>
      </c>
      <c r="C33" s="33"/>
      <c r="D33" s="33"/>
    </row>
  </sheetData>
  <sheetProtection sheet="1" formatColumns="0" formatRows="0"/>
  <mergeCells count="4">
    <mergeCell ref="B31:D31"/>
    <mergeCell ref="B3:D3"/>
    <mergeCell ref="B2:D2"/>
    <mergeCell ref="B33:D33"/>
  </mergeCells>
  <dataValidations count="1">
    <dataValidation type="list" allowBlank="1" sqref="C16 C17" xr:uid="{00000000-0002-0000-0000-000001000000}">
      <formula1>"الأحد,الاتنين,التلات,الأربع,الخميس,الجمعة,السبت"</formula1>
    </dataValidation>
  </dataValidations>
  <hyperlinks>
    <hyperlink ref="B33" r:id="rId1" xr:uid="{00000000-0004-0000-0000-000000000000}"/>
  </hyperlinks>
  <pageMargins left="0.75" right="0.75" top="1" bottom="1" header="0.5" footer="0.5"/>
  <extLst>
    <ext xmlns:x14="http://schemas.microsoft.com/office/spreadsheetml/2009/9/main" uri="{CCE6A557-97BC-4b89-ADB6-D9C93CAAB3DF}">
      <x14:dataValidations xmlns:xm="http://schemas.microsoft.com/office/excel/2006/main" count="1">
        <x14:dataValidation type="list" xr:uid="{00000000-0002-0000-0000-000000000000}">
          <x14:formula1>
            <xm:f>المدن!$A$2:$A$60</xm:f>
          </x14:formula1>
          <xm:sqref>C8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8"/>
  <sheetViews>
    <sheetView showGridLines="0" rightToLeft="1" tabSelected="1" workbookViewId="0">
      <pane xSplit="2" ySplit="6" topLeftCell="C7" activePane="bottomRight" state="frozen"/>
      <selection pane="topRight"/>
      <selection pane="bottomLeft"/>
      <selection pane="bottomRight" sqref="A1:O1"/>
    </sheetView>
  </sheetViews>
  <sheetFormatPr defaultRowHeight="14.4" x14ac:dyDescent="0.3"/>
  <cols>
    <col min="1" max="1" width="11.44140625" customWidth="1"/>
    <col min="2" max="2" width="8" customWidth="1"/>
    <col min="3" max="4" width="8.44140625" customWidth="1"/>
    <col min="5" max="5" width="8" customWidth="1"/>
    <col min="6" max="6" width="7" customWidth="1"/>
    <col min="7" max="8" width="8" customWidth="1"/>
    <col min="9" max="9" width="10" customWidth="1"/>
    <col min="10" max="11" width="8.44140625" customWidth="1"/>
    <col min="12" max="14" width="9.44140625" customWidth="1"/>
    <col min="15" max="15" width="14" customWidth="1"/>
    <col min="16" max="18" width="6" hidden="1" customWidth="1"/>
  </cols>
  <sheetData>
    <row r="1" spans="1:18" ht="30" customHeight="1" x14ac:dyDescent="0.3">
      <c r="A1" s="47" t="s">
        <v>43</v>
      </c>
      <c r="B1" s="33"/>
      <c r="C1" s="33"/>
      <c r="D1" s="33"/>
      <c r="E1" s="33"/>
      <c r="F1" s="33"/>
      <c r="G1" s="33"/>
      <c r="H1" s="33"/>
      <c r="I1" s="33"/>
      <c r="J1" s="33"/>
      <c r="K1" s="33"/>
      <c r="L1" s="33"/>
      <c r="M1" s="33"/>
      <c r="N1" s="33"/>
      <c r="O1" s="33"/>
    </row>
    <row r="2" spans="1:18" x14ac:dyDescent="0.3">
      <c r="A2" s="41" t="str">
        <f>"الشركة: "&amp;CompanyName&amp;"     الموظف: "&amp;EmployeeName&amp;"     الشهر: "&amp;TEXT(MonthStart,"mm/yyyy")&amp;"     المدينة: "&amp;City</f>
        <v>الشركة: شركة الأفق للصناعات     الموظف: زياد محمد فتحي     الشهر: 10/2026     المدينة: القاهرة</v>
      </c>
      <c r="B2" s="33"/>
      <c r="C2" s="33"/>
      <c r="D2" s="33"/>
      <c r="E2" s="33"/>
      <c r="F2" s="33"/>
      <c r="G2" s="33"/>
      <c r="H2" s="33"/>
      <c r="I2" s="33"/>
      <c r="J2" s="33"/>
      <c r="K2" s="33"/>
      <c r="L2" s="33"/>
      <c r="M2" s="33"/>
      <c r="N2" s="33"/>
      <c r="O2" s="33"/>
    </row>
    <row r="3" spans="1:18" x14ac:dyDescent="0.3">
      <c r="A3" s="34" t="str">
        <f>"الوردية من "&amp;TEXT(ShiftStart,"hh:mm")&amp;" لـ "&amp;TEXT(ShiftEnd,"hh:mm")&amp;"   ·   سماح التأخير "&amp;LateGrace&amp;" دقيقة   ·   الراحة: "&amp;Rest1&amp;IF(Rest2="",""," و"&amp;Rest2)&amp;"   ·   أجر الساعة "&amp;TEXT(HourlyWage,"#,##0.00")&amp;" جنيه"</f>
        <v>الوردية من 09:00 لـ 17:00   ·   سماح التأخير 15 دقيقة   ·   الراحة: الجمعة   ·   أجر الساعة 50.00 جنيه</v>
      </c>
      <c r="B3" s="33"/>
      <c r="C3" s="33"/>
      <c r="D3" s="33"/>
      <c r="E3" s="33"/>
      <c r="F3" s="33"/>
      <c r="G3" s="33"/>
      <c r="H3" s="33"/>
      <c r="I3" s="33"/>
      <c r="J3" s="33"/>
      <c r="K3" s="33"/>
      <c r="L3" s="33"/>
      <c r="M3" s="33"/>
      <c r="N3" s="33"/>
      <c r="O3" s="33"/>
    </row>
    <row r="4" spans="1:18" x14ac:dyDescent="0.3">
      <c r="A4" s="43" t="s">
        <v>44</v>
      </c>
      <c r="B4" s="33"/>
      <c r="C4" s="33"/>
      <c r="D4" s="33"/>
      <c r="E4" s="33"/>
      <c r="F4" s="33"/>
      <c r="G4" s="33"/>
      <c r="H4" s="33"/>
      <c r="I4" s="33"/>
      <c r="J4" s="33"/>
      <c r="K4" s="33"/>
      <c r="L4" s="33"/>
      <c r="M4" s="33"/>
      <c r="N4" s="33"/>
      <c r="O4" s="33"/>
    </row>
    <row r="6" spans="1:18" ht="36" customHeight="1" x14ac:dyDescent="0.3">
      <c r="A6" s="14" t="s">
        <v>45</v>
      </c>
      <c r="B6" s="14" t="s">
        <v>46</v>
      </c>
      <c r="C6" s="14" t="s">
        <v>47</v>
      </c>
      <c r="D6" s="14" t="s">
        <v>48</v>
      </c>
      <c r="E6" s="14" t="s">
        <v>49</v>
      </c>
      <c r="F6" s="14" t="s">
        <v>50</v>
      </c>
      <c r="G6" s="14" t="s">
        <v>51</v>
      </c>
      <c r="H6" s="14" t="s">
        <v>52</v>
      </c>
      <c r="I6" s="14" t="s">
        <v>53</v>
      </c>
      <c r="J6" s="14" t="s">
        <v>54</v>
      </c>
      <c r="K6" s="14" t="s">
        <v>55</v>
      </c>
      <c r="L6" s="14" t="s">
        <v>56</v>
      </c>
      <c r="M6" s="14" t="s">
        <v>57</v>
      </c>
      <c r="N6" s="14" t="s">
        <v>58</v>
      </c>
      <c r="O6" s="14" t="s">
        <v>59</v>
      </c>
      <c r="P6" s="15" t="s">
        <v>60</v>
      </c>
      <c r="Q6" s="15" t="s">
        <v>61</v>
      </c>
      <c r="R6" s="15" t="s">
        <v>62</v>
      </c>
    </row>
    <row r="7" spans="1:18" ht="18" customHeight="1" x14ac:dyDescent="0.3">
      <c r="A7" s="16">
        <f>IF(1&lt;=DAY(EOMONTH(MonthStart,0)),MonthStart+1-1,"")</f>
        <v>46296</v>
      </c>
      <c r="B7" s="17" t="str">
        <f t="shared" ref="B7:B37" si="0">IF(A7="","",CHOOSE(WEEKDAY(A7,1),"الأحد","الاتنين","التلات","الأربع","الخميس","الجمعة","السبت"))</f>
        <v>الخميس</v>
      </c>
      <c r="C7" s="18">
        <v>0.375</v>
      </c>
      <c r="D7" s="18">
        <v>0.71180555555555558</v>
      </c>
      <c r="E7" s="19"/>
      <c r="F7" s="17" t="str">
        <f t="shared" ref="F7:F37" si="1">IF(A7="","",IF(OR(E7="نعم",B7=Rest1,AND(Rest2&lt;&gt;"",B7=Rest2)),"راحة","عمل"))</f>
        <v>عمل</v>
      </c>
      <c r="G7" s="20">
        <f>IF(A7="","",'حساب الشمس'!R3/1440)</f>
        <v>0.28333333333333333</v>
      </c>
      <c r="H7" s="20">
        <f>IF(A7="","",'حساب الشمس'!S3/1440)</f>
        <v>0.77847222222222223</v>
      </c>
      <c r="I7" s="21">
        <f t="shared" ref="I7:I37" si="2">IF(OR(A7="",C7="",D7=""),"",MOD(D7-C7,1))</f>
        <v>0.33680555555555558</v>
      </c>
      <c r="J7" s="22">
        <f t="shared" ref="J7:J37" si="3">IF(OR(A7="",C7="",F7="راحة"),"",IF(ROUND((C7-ShiftStart)*1440,0)&gt;LateGrace,ROUND((C7-ShiftStart)*1440,0),0))</f>
        <v>0</v>
      </c>
      <c r="K7" s="22">
        <f t="shared" ref="K7:K37" si="4">IF(OR(A7="",C7="",D7="",F7="راحة"),"",MAX(0,ROUND((ShiftEnd-D7-IF(D7&lt;C7,1,0))*1440,0)))</f>
        <v>0</v>
      </c>
      <c r="L7" s="22">
        <f t="shared" ref="L7:L37" si="5">P7-M7</f>
        <v>5</v>
      </c>
      <c r="M7" s="22">
        <f>IF(P7=0,0,MAX(0,MIN(Q7,1440)-MAX(R7,'حساب الشمس'!S3))+MAX(0,MIN(Q7,'حساب الشمس'!R3)-MAX(R7,0))+MAX(0,MIN(Q7,1440+'حساب الشمس'!R3)-MAX(R7,1440)))</f>
        <v>0</v>
      </c>
      <c r="N7" s="22">
        <f t="shared" ref="N7:N37" si="6">IF(AND(F7="راحة",C7&lt;&gt;"",D7&lt;&gt;""),ROUND(MOD(D7-C7,1)*1440,0),0)</f>
        <v>0</v>
      </c>
      <c r="O7" s="17" t="str">
        <f t="shared" ref="O7:O37" si="7">IF(A7="","",IF(AND(C7="",D7=""),IF(F7="راحة","","غياب"),IF(OR(C7="",D7=""),"بصمة ناقصة",IF(F7="راحة","شغل يوم راحة",""))))</f>
        <v/>
      </c>
      <c r="P7" s="23">
        <f t="shared" ref="P7:P37" si="8">IF(OR(A7="",C7="",D7="",F7="راحة"),0,MAX(0,ROUND(MOD(D7-C7,1)*1440,0)-ROUND((ShiftEnd-ShiftStart)*1440,0)-OTGrace))</f>
        <v>5</v>
      </c>
      <c r="Q7" s="23">
        <f t="shared" ref="Q7:Q37" si="9">IF(OR(C7="",D7=""),0,ROUND((D7+IF(D7&lt;C7,1,0))*1440,0))</f>
        <v>1025</v>
      </c>
      <c r="R7" s="23">
        <f t="shared" ref="R7:R37" si="10">Q7-P7</f>
        <v>1020</v>
      </c>
    </row>
    <row r="8" spans="1:18" ht="18" customHeight="1" x14ac:dyDescent="0.3">
      <c r="A8" s="16">
        <f>IF(2&lt;=DAY(EOMONTH(MonthStart,0)),MonthStart+2-1,"")</f>
        <v>46297</v>
      </c>
      <c r="B8" s="17" t="str">
        <f t="shared" si="0"/>
        <v>الجمعة</v>
      </c>
      <c r="C8" s="18"/>
      <c r="D8" s="18"/>
      <c r="E8" s="19"/>
      <c r="F8" s="17" t="str">
        <f t="shared" si="1"/>
        <v>راحة</v>
      </c>
      <c r="G8" s="20">
        <f>IF(A8="","",'حساب الشمس'!R4/1440)</f>
        <v>0.28402777777777777</v>
      </c>
      <c r="H8" s="20">
        <f>IF(A8="","",'حساب الشمس'!S4/1440)</f>
        <v>0.77777777777777779</v>
      </c>
      <c r="I8" s="21" t="str">
        <f t="shared" si="2"/>
        <v/>
      </c>
      <c r="J8" s="22" t="str">
        <f t="shared" si="3"/>
        <v/>
      </c>
      <c r="K8" s="22" t="str">
        <f t="shared" si="4"/>
        <v/>
      </c>
      <c r="L8" s="22">
        <f t="shared" si="5"/>
        <v>0</v>
      </c>
      <c r="M8" s="22">
        <f>IF(P8=0,0,MAX(0,MIN(Q8,1440)-MAX(R8,'حساب الشمس'!S4))+MAX(0,MIN(Q8,'حساب الشمس'!R4)-MAX(R8,0))+MAX(0,MIN(Q8,1440+'حساب الشمس'!R4)-MAX(R8,1440)))</f>
        <v>0</v>
      </c>
      <c r="N8" s="22">
        <f t="shared" si="6"/>
        <v>0</v>
      </c>
      <c r="O8" s="17" t="str">
        <f t="shared" si="7"/>
        <v/>
      </c>
      <c r="P8" s="23">
        <f t="shared" si="8"/>
        <v>0</v>
      </c>
      <c r="Q8" s="23">
        <f t="shared" si="9"/>
        <v>0</v>
      </c>
      <c r="R8" s="23">
        <f t="shared" si="10"/>
        <v>0</v>
      </c>
    </row>
    <row r="9" spans="1:18" ht="18" customHeight="1" x14ac:dyDescent="0.3">
      <c r="A9" s="16">
        <f>IF(3&lt;=DAY(EOMONTH(MonthStart,0)),MonthStart+3-1,"")</f>
        <v>46298</v>
      </c>
      <c r="B9" s="17" t="str">
        <f t="shared" si="0"/>
        <v>السبت</v>
      </c>
      <c r="C9" s="18">
        <v>0.38194444444444442</v>
      </c>
      <c r="D9" s="18">
        <v>0.70833333333333337</v>
      </c>
      <c r="E9" s="19"/>
      <c r="F9" s="17" t="str">
        <f t="shared" si="1"/>
        <v>عمل</v>
      </c>
      <c r="G9" s="20">
        <f>IF(A9="","",'حساب الشمس'!R5/1440)</f>
        <v>0.28472222222222221</v>
      </c>
      <c r="H9" s="20">
        <f>IF(A9="","",'حساب الشمس'!S5/1440)</f>
        <v>0.77708333333333335</v>
      </c>
      <c r="I9" s="21">
        <f t="shared" si="2"/>
        <v>0.32638888888888895</v>
      </c>
      <c r="J9" s="22">
        <f t="shared" si="3"/>
        <v>0</v>
      </c>
      <c r="K9" s="22">
        <f t="shared" si="4"/>
        <v>0</v>
      </c>
      <c r="L9" s="22">
        <f t="shared" si="5"/>
        <v>0</v>
      </c>
      <c r="M9" s="22">
        <f>IF(P9=0,0,MAX(0,MIN(Q9,1440)-MAX(R9,'حساب الشمس'!S5))+MAX(0,MIN(Q9,'حساب الشمس'!R5)-MAX(R9,0))+MAX(0,MIN(Q9,1440+'حساب الشمس'!R5)-MAX(R9,1440)))</f>
        <v>0</v>
      </c>
      <c r="N9" s="22">
        <f t="shared" si="6"/>
        <v>0</v>
      </c>
      <c r="O9" s="17" t="str">
        <f t="shared" si="7"/>
        <v/>
      </c>
      <c r="P9" s="23">
        <f t="shared" si="8"/>
        <v>0</v>
      </c>
      <c r="Q9" s="23">
        <f t="shared" si="9"/>
        <v>1020</v>
      </c>
      <c r="R9" s="23">
        <f t="shared" si="10"/>
        <v>1020</v>
      </c>
    </row>
    <row r="10" spans="1:18" ht="18" customHeight="1" x14ac:dyDescent="0.3">
      <c r="A10" s="16">
        <f>IF(4&lt;=DAY(EOMONTH(MonthStart,0)),MonthStart+4-1,"")</f>
        <v>46299</v>
      </c>
      <c r="B10" s="17" t="str">
        <f t="shared" si="0"/>
        <v>الأحد</v>
      </c>
      <c r="C10" s="18">
        <v>0.3923611111111111</v>
      </c>
      <c r="D10" s="18">
        <v>0.70833333333333337</v>
      </c>
      <c r="E10" s="19"/>
      <c r="F10" s="17" t="str">
        <f t="shared" si="1"/>
        <v>عمل</v>
      </c>
      <c r="G10" s="20">
        <f>IF(A10="","",'حساب الشمس'!R6/1440)</f>
        <v>0.28472222222222221</v>
      </c>
      <c r="H10" s="20">
        <f>IF(A10="","",'حساب الشمس'!S6/1440)</f>
        <v>0.77569444444444446</v>
      </c>
      <c r="I10" s="21">
        <f t="shared" si="2"/>
        <v>0.31597222222222227</v>
      </c>
      <c r="J10" s="22">
        <f t="shared" si="3"/>
        <v>25</v>
      </c>
      <c r="K10" s="22">
        <f t="shared" si="4"/>
        <v>0</v>
      </c>
      <c r="L10" s="22">
        <f t="shared" si="5"/>
        <v>0</v>
      </c>
      <c r="M10" s="22">
        <f>IF(P10=0,0,MAX(0,MIN(Q10,1440)-MAX(R10,'حساب الشمس'!S6))+MAX(0,MIN(Q10,'حساب الشمس'!R6)-MAX(R10,0))+MAX(0,MIN(Q10,1440+'حساب الشمس'!R6)-MAX(R10,1440)))</f>
        <v>0</v>
      </c>
      <c r="N10" s="22">
        <f t="shared" si="6"/>
        <v>0</v>
      </c>
      <c r="O10" s="17" t="str">
        <f t="shared" si="7"/>
        <v/>
      </c>
      <c r="P10" s="23">
        <f t="shared" si="8"/>
        <v>0</v>
      </c>
      <c r="Q10" s="23">
        <f t="shared" si="9"/>
        <v>1020</v>
      </c>
      <c r="R10" s="23">
        <f t="shared" si="10"/>
        <v>1020</v>
      </c>
    </row>
    <row r="11" spans="1:18" ht="18" customHeight="1" x14ac:dyDescent="0.3">
      <c r="A11" s="16">
        <f>IF(5&lt;=DAY(EOMONTH(MonthStart,0)),MonthStart+5-1,"")</f>
        <v>46300</v>
      </c>
      <c r="B11" s="17" t="str">
        <f t="shared" si="0"/>
        <v>الاتنين</v>
      </c>
      <c r="C11" s="18">
        <v>0.375</v>
      </c>
      <c r="D11" s="18">
        <v>0.83333333333333337</v>
      </c>
      <c r="E11" s="19"/>
      <c r="F11" s="17" t="str">
        <f t="shared" si="1"/>
        <v>عمل</v>
      </c>
      <c r="G11" s="20">
        <f>IF(A11="","",'حساب الشمس'!R7/1440)</f>
        <v>0.28541666666666665</v>
      </c>
      <c r="H11" s="20">
        <f>IF(A11="","",'حساب الشمس'!S7/1440)</f>
        <v>0.77500000000000002</v>
      </c>
      <c r="I11" s="21">
        <f t="shared" si="2"/>
        <v>0.45833333333333337</v>
      </c>
      <c r="J11" s="22">
        <f t="shared" si="3"/>
        <v>0</v>
      </c>
      <c r="K11" s="22">
        <f t="shared" si="4"/>
        <v>0</v>
      </c>
      <c r="L11" s="22">
        <f t="shared" si="5"/>
        <v>96</v>
      </c>
      <c r="M11" s="22">
        <f>IF(P11=0,0,MAX(0,MIN(Q11,1440)-MAX(R11,'حساب الشمس'!S7))+MAX(0,MIN(Q11,'حساب الشمس'!R7)-MAX(R11,0))+MAX(0,MIN(Q11,1440+'حساب الشمس'!R7)-MAX(R11,1440)))</f>
        <v>84</v>
      </c>
      <c r="N11" s="22">
        <f t="shared" si="6"/>
        <v>0</v>
      </c>
      <c r="O11" s="17" t="str">
        <f t="shared" si="7"/>
        <v/>
      </c>
      <c r="P11" s="23">
        <f t="shared" si="8"/>
        <v>180</v>
      </c>
      <c r="Q11" s="23">
        <f t="shared" si="9"/>
        <v>1200</v>
      </c>
      <c r="R11" s="23">
        <f t="shared" si="10"/>
        <v>1020</v>
      </c>
    </row>
    <row r="12" spans="1:18" ht="18" customHeight="1" x14ac:dyDescent="0.3">
      <c r="A12" s="16">
        <f>IF(6&lt;=DAY(EOMONTH(MonthStart,0)),MonthStart+6-1,"")</f>
        <v>46301</v>
      </c>
      <c r="B12" s="17" t="str">
        <f t="shared" si="0"/>
        <v>التلات</v>
      </c>
      <c r="C12" s="18">
        <v>0.375</v>
      </c>
      <c r="D12" s="18">
        <v>0.70833333333333337</v>
      </c>
      <c r="E12" s="19"/>
      <c r="F12" s="17" t="str">
        <f t="shared" si="1"/>
        <v>عمل</v>
      </c>
      <c r="G12" s="20">
        <f>IF(A12="","",'حساب الشمس'!R8/1440)</f>
        <v>0.28541666666666665</v>
      </c>
      <c r="H12" s="20">
        <f>IF(A12="","",'حساب الشمس'!S8/1440)</f>
        <v>0.77430555555555558</v>
      </c>
      <c r="I12" s="21">
        <f t="shared" si="2"/>
        <v>0.33333333333333337</v>
      </c>
      <c r="J12" s="22">
        <f t="shared" si="3"/>
        <v>0</v>
      </c>
      <c r="K12" s="22">
        <f t="shared" si="4"/>
        <v>0</v>
      </c>
      <c r="L12" s="22">
        <f t="shared" si="5"/>
        <v>0</v>
      </c>
      <c r="M12" s="22">
        <f>IF(P12=0,0,MAX(0,MIN(Q12,1440)-MAX(R12,'حساب الشمس'!S8))+MAX(0,MIN(Q12,'حساب الشمس'!R8)-MAX(R12,0))+MAX(0,MIN(Q12,1440+'حساب الشمس'!R8)-MAX(R12,1440)))</f>
        <v>0</v>
      </c>
      <c r="N12" s="22">
        <f t="shared" si="6"/>
        <v>0</v>
      </c>
      <c r="O12" s="17" t="str">
        <f t="shared" si="7"/>
        <v/>
      </c>
      <c r="P12" s="23">
        <f t="shared" si="8"/>
        <v>0</v>
      </c>
      <c r="Q12" s="23">
        <f t="shared" si="9"/>
        <v>1020</v>
      </c>
      <c r="R12" s="23">
        <f t="shared" si="10"/>
        <v>1020</v>
      </c>
    </row>
    <row r="13" spans="1:18" ht="18" customHeight="1" x14ac:dyDescent="0.3">
      <c r="A13" s="16">
        <f>IF(7&lt;=DAY(EOMONTH(MonthStart,0)),MonthStart+7-1,"")</f>
        <v>46302</v>
      </c>
      <c r="B13" s="17" t="str">
        <f t="shared" si="0"/>
        <v>الأربع</v>
      </c>
      <c r="C13" s="18">
        <v>0.37152777777777779</v>
      </c>
      <c r="D13" s="18">
        <v>0.6875</v>
      </c>
      <c r="E13" s="19"/>
      <c r="F13" s="17" t="str">
        <f t="shared" si="1"/>
        <v>عمل</v>
      </c>
      <c r="G13" s="20">
        <f>IF(A13="","",'حساب الشمس'!R9/1440)</f>
        <v>0.28611111111111109</v>
      </c>
      <c r="H13" s="20">
        <f>IF(A13="","",'حساب الشمس'!S9/1440)</f>
        <v>0.77361111111111114</v>
      </c>
      <c r="I13" s="21">
        <f t="shared" si="2"/>
        <v>0.31597222222222221</v>
      </c>
      <c r="J13" s="22">
        <f t="shared" si="3"/>
        <v>0</v>
      </c>
      <c r="K13" s="22">
        <f t="shared" si="4"/>
        <v>30</v>
      </c>
      <c r="L13" s="22">
        <f t="shared" si="5"/>
        <v>0</v>
      </c>
      <c r="M13" s="22">
        <f>IF(P13=0,0,MAX(0,MIN(Q13,1440)-MAX(R13,'حساب الشمس'!S9))+MAX(0,MIN(Q13,'حساب الشمس'!R9)-MAX(R13,0))+MAX(0,MIN(Q13,1440+'حساب الشمس'!R9)-MAX(R13,1440)))</f>
        <v>0</v>
      </c>
      <c r="N13" s="22">
        <f t="shared" si="6"/>
        <v>0</v>
      </c>
      <c r="O13" s="17" t="str">
        <f t="shared" si="7"/>
        <v/>
      </c>
      <c r="P13" s="23">
        <f t="shared" si="8"/>
        <v>0</v>
      </c>
      <c r="Q13" s="23">
        <f t="shared" si="9"/>
        <v>990</v>
      </c>
      <c r="R13" s="23">
        <f t="shared" si="10"/>
        <v>990</v>
      </c>
    </row>
    <row r="14" spans="1:18" ht="18" customHeight="1" x14ac:dyDescent="0.3">
      <c r="A14" s="16">
        <f>IF(8&lt;=DAY(EOMONTH(MonthStart,0)),MonthStart+8-1,"")</f>
        <v>46303</v>
      </c>
      <c r="B14" s="17" t="str">
        <f t="shared" si="0"/>
        <v>الخميس</v>
      </c>
      <c r="C14" s="18">
        <v>0.375</v>
      </c>
      <c r="D14" s="18">
        <v>0.79166666666666663</v>
      </c>
      <c r="E14" s="19"/>
      <c r="F14" s="17" t="str">
        <f t="shared" si="1"/>
        <v>عمل</v>
      </c>
      <c r="G14" s="20">
        <f>IF(A14="","",'حساب الشمس'!R10/1440)</f>
        <v>0.28680555555555554</v>
      </c>
      <c r="H14" s="20">
        <f>IF(A14="","",'حساب الشمس'!S10/1440)</f>
        <v>0.7729166666666667</v>
      </c>
      <c r="I14" s="21">
        <f t="shared" si="2"/>
        <v>0.41666666666666663</v>
      </c>
      <c r="J14" s="22">
        <f t="shared" si="3"/>
        <v>0</v>
      </c>
      <c r="K14" s="22">
        <f t="shared" si="4"/>
        <v>0</v>
      </c>
      <c r="L14" s="22">
        <f t="shared" si="5"/>
        <v>93</v>
      </c>
      <c r="M14" s="22">
        <f>IF(P14=0,0,MAX(0,MIN(Q14,1440)-MAX(R14,'حساب الشمس'!S10))+MAX(0,MIN(Q14,'حساب الشمس'!R10)-MAX(R14,0))+MAX(0,MIN(Q14,1440+'حساب الشمس'!R10)-MAX(R14,1440)))</f>
        <v>27</v>
      </c>
      <c r="N14" s="22">
        <f t="shared" si="6"/>
        <v>0</v>
      </c>
      <c r="O14" s="17" t="str">
        <f t="shared" si="7"/>
        <v/>
      </c>
      <c r="P14" s="23">
        <f t="shared" si="8"/>
        <v>120</v>
      </c>
      <c r="Q14" s="23">
        <f t="shared" si="9"/>
        <v>1140</v>
      </c>
      <c r="R14" s="23">
        <f t="shared" si="10"/>
        <v>1020</v>
      </c>
    </row>
    <row r="15" spans="1:18" ht="18" customHeight="1" x14ac:dyDescent="0.3">
      <c r="A15" s="16">
        <f>IF(9&lt;=DAY(EOMONTH(MonthStart,0)),MonthStart+9-1,"")</f>
        <v>46304</v>
      </c>
      <c r="B15" s="17" t="str">
        <f t="shared" si="0"/>
        <v>الجمعة</v>
      </c>
      <c r="C15" s="18">
        <v>0.41666666666666669</v>
      </c>
      <c r="D15" s="18">
        <v>0.625</v>
      </c>
      <c r="E15" s="19"/>
      <c r="F15" s="17" t="str">
        <f t="shared" si="1"/>
        <v>راحة</v>
      </c>
      <c r="G15" s="20">
        <f>IF(A15="","",'حساب الشمس'!R11/1440)</f>
        <v>0.28680555555555554</v>
      </c>
      <c r="H15" s="20">
        <f>IF(A15="","",'حساب الشمس'!S11/1440)</f>
        <v>0.77222222222222225</v>
      </c>
      <c r="I15" s="21">
        <f t="shared" si="2"/>
        <v>0.20833333333333331</v>
      </c>
      <c r="J15" s="22" t="str">
        <f t="shared" si="3"/>
        <v/>
      </c>
      <c r="K15" s="22" t="str">
        <f t="shared" si="4"/>
        <v/>
      </c>
      <c r="L15" s="22">
        <f t="shared" si="5"/>
        <v>0</v>
      </c>
      <c r="M15" s="22">
        <f>IF(P15=0,0,MAX(0,MIN(Q15,1440)-MAX(R15,'حساب الشمس'!S11))+MAX(0,MIN(Q15,'حساب الشمس'!R11)-MAX(R15,0))+MAX(0,MIN(Q15,1440+'حساب الشمس'!R11)-MAX(R15,1440)))</f>
        <v>0</v>
      </c>
      <c r="N15" s="22">
        <f t="shared" si="6"/>
        <v>300</v>
      </c>
      <c r="O15" s="17" t="str">
        <f t="shared" si="7"/>
        <v>شغل يوم راحة</v>
      </c>
      <c r="P15" s="23">
        <f t="shared" si="8"/>
        <v>0</v>
      </c>
      <c r="Q15" s="23">
        <f t="shared" si="9"/>
        <v>900</v>
      </c>
      <c r="R15" s="23">
        <f t="shared" si="10"/>
        <v>900</v>
      </c>
    </row>
    <row r="16" spans="1:18" ht="18" customHeight="1" x14ac:dyDescent="0.3">
      <c r="A16" s="16">
        <f>IF(10&lt;=DAY(EOMONTH(MonthStart,0)),MonthStart+10-1,"")</f>
        <v>46305</v>
      </c>
      <c r="B16" s="17" t="str">
        <f t="shared" si="0"/>
        <v>السبت</v>
      </c>
      <c r="C16" s="18">
        <v>0.375</v>
      </c>
      <c r="D16" s="18">
        <v>0.70833333333333337</v>
      </c>
      <c r="E16" s="19"/>
      <c r="F16" s="17" t="str">
        <f t="shared" si="1"/>
        <v>عمل</v>
      </c>
      <c r="G16" s="20">
        <f>IF(A16="","",'حساب الشمس'!R12/1440)</f>
        <v>0.28749999999999998</v>
      </c>
      <c r="H16" s="20">
        <f>IF(A16="","",'حساب الشمس'!S12/1440)</f>
        <v>0.77083333333333337</v>
      </c>
      <c r="I16" s="21">
        <f t="shared" si="2"/>
        <v>0.33333333333333337</v>
      </c>
      <c r="J16" s="22">
        <f t="shared" si="3"/>
        <v>0</v>
      </c>
      <c r="K16" s="22">
        <f t="shared" si="4"/>
        <v>0</v>
      </c>
      <c r="L16" s="22">
        <f t="shared" si="5"/>
        <v>0</v>
      </c>
      <c r="M16" s="22">
        <f>IF(P16=0,0,MAX(0,MIN(Q16,1440)-MAX(R16,'حساب الشمس'!S12))+MAX(0,MIN(Q16,'حساب الشمس'!R12)-MAX(R16,0))+MAX(0,MIN(Q16,1440+'حساب الشمس'!R12)-MAX(R16,1440)))</f>
        <v>0</v>
      </c>
      <c r="N16" s="22">
        <f t="shared" si="6"/>
        <v>0</v>
      </c>
      <c r="O16" s="17" t="str">
        <f t="shared" si="7"/>
        <v/>
      </c>
      <c r="P16" s="23">
        <f t="shared" si="8"/>
        <v>0</v>
      </c>
      <c r="Q16" s="23">
        <f t="shared" si="9"/>
        <v>1020</v>
      </c>
      <c r="R16" s="23">
        <f t="shared" si="10"/>
        <v>1020</v>
      </c>
    </row>
    <row r="17" spans="1:18" ht="18" customHeight="1" x14ac:dyDescent="0.3">
      <c r="A17" s="16">
        <f>IF(11&lt;=DAY(EOMONTH(MonthStart,0)),MonthStart+11-1,"")</f>
        <v>46306</v>
      </c>
      <c r="B17" s="17" t="str">
        <f t="shared" si="0"/>
        <v>الأحد</v>
      </c>
      <c r="C17" s="18"/>
      <c r="D17" s="18"/>
      <c r="E17" s="19"/>
      <c r="F17" s="17" t="str">
        <f t="shared" si="1"/>
        <v>عمل</v>
      </c>
      <c r="G17" s="20">
        <f>IF(A17="","",'حساب الشمس'!R13/1440)</f>
        <v>0.28749999999999998</v>
      </c>
      <c r="H17" s="20">
        <f>IF(A17="","",'حساب الشمس'!S13/1440)</f>
        <v>0.77013888888888893</v>
      </c>
      <c r="I17" s="21" t="str">
        <f t="shared" si="2"/>
        <v/>
      </c>
      <c r="J17" s="22" t="str">
        <f t="shared" si="3"/>
        <v/>
      </c>
      <c r="K17" s="22" t="str">
        <f t="shared" si="4"/>
        <v/>
      </c>
      <c r="L17" s="22">
        <f t="shared" si="5"/>
        <v>0</v>
      </c>
      <c r="M17" s="22">
        <f>IF(P17=0,0,MAX(0,MIN(Q17,1440)-MAX(R17,'حساب الشمس'!S13))+MAX(0,MIN(Q17,'حساب الشمس'!R13)-MAX(R17,0))+MAX(0,MIN(Q17,1440+'حساب الشمس'!R13)-MAX(R17,1440)))</f>
        <v>0</v>
      </c>
      <c r="N17" s="22">
        <f t="shared" si="6"/>
        <v>0</v>
      </c>
      <c r="O17" s="17" t="str">
        <f t="shared" si="7"/>
        <v>غياب</v>
      </c>
      <c r="P17" s="23">
        <f t="shared" si="8"/>
        <v>0</v>
      </c>
      <c r="Q17" s="23">
        <f t="shared" si="9"/>
        <v>0</v>
      </c>
      <c r="R17" s="23">
        <f t="shared" si="10"/>
        <v>0</v>
      </c>
    </row>
    <row r="18" spans="1:18" ht="18" customHeight="1" x14ac:dyDescent="0.3">
      <c r="A18" s="16">
        <f>IF(12&lt;=DAY(EOMONTH(MonthStart,0)),MonthStart+12-1,"")</f>
        <v>46307</v>
      </c>
      <c r="B18" s="17" t="str">
        <f t="shared" si="0"/>
        <v>الاتنين</v>
      </c>
      <c r="C18" s="18">
        <v>0.375</v>
      </c>
      <c r="D18" s="18"/>
      <c r="E18" s="19"/>
      <c r="F18" s="17" t="str">
        <f t="shared" si="1"/>
        <v>عمل</v>
      </c>
      <c r="G18" s="20">
        <f>IF(A18="","",'حساب الشمس'!R14/1440)</f>
        <v>0.28819444444444442</v>
      </c>
      <c r="H18" s="20">
        <f>IF(A18="","",'حساب الشمس'!S14/1440)</f>
        <v>0.76944444444444449</v>
      </c>
      <c r="I18" s="21" t="str">
        <f t="shared" si="2"/>
        <v/>
      </c>
      <c r="J18" s="22">
        <f t="shared" si="3"/>
        <v>0</v>
      </c>
      <c r="K18" s="22" t="str">
        <f t="shared" si="4"/>
        <v/>
      </c>
      <c r="L18" s="22">
        <f t="shared" si="5"/>
        <v>0</v>
      </c>
      <c r="M18" s="22">
        <f>IF(P18=0,0,MAX(0,MIN(Q18,1440)-MAX(R18,'حساب الشمس'!S14))+MAX(0,MIN(Q18,'حساب الشمس'!R14)-MAX(R18,0))+MAX(0,MIN(Q18,1440+'حساب الشمس'!R14)-MAX(R18,1440)))</f>
        <v>0</v>
      </c>
      <c r="N18" s="22">
        <f t="shared" si="6"/>
        <v>0</v>
      </c>
      <c r="O18" s="17" t="str">
        <f t="shared" si="7"/>
        <v>بصمة ناقصة</v>
      </c>
      <c r="P18" s="23">
        <f t="shared" si="8"/>
        <v>0</v>
      </c>
      <c r="Q18" s="23">
        <f t="shared" si="9"/>
        <v>0</v>
      </c>
      <c r="R18" s="23">
        <f t="shared" si="10"/>
        <v>0</v>
      </c>
    </row>
    <row r="19" spans="1:18" ht="18" customHeight="1" x14ac:dyDescent="0.3">
      <c r="A19" s="16">
        <f>IF(13&lt;=DAY(EOMONTH(MonthStart,0)),MonthStart+13-1,"")</f>
        <v>46308</v>
      </c>
      <c r="B19" s="17" t="str">
        <f t="shared" si="0"/>
        <v>التلات</v>
      </c>
      <c r="C19" s="18">
        <v>0.375</v>
      </c>
      <c r="D19" s="18">
        <v>0.9375</v>
      </c>
      <c r="E19" s="19"/>
      <c r="F19" s="17" t="str">
        <f t="shared" si="1"/>
        <v>عمل</v>
      </c>
      <c r="G19" s="20">
        <f>IF(A19="","",'حساب الشمس'!R15/1440)</f>
        <v>0.28888888888888886</v>
      </c>
      <c r="H19" s="20">
        <f>IF(A19="","",'حساب الشمس'!S15/1440)</f>
        <v>0.76875000000000004</v>
      </c>
      <c r="I19" s="21">
        <f t="shared" si="2"/>
        <v>0.5625</v>
      </c>
      <c r="J19" s="22">
        <f t="shared" si="3"/>
        <v>0</v>
      </c>
      <c r="K19" s="22">
        <f t="shared" si="4"/>
        <v>0</v>
      </c>
      <c r="L19" s="22">
        <f t="shared" si="5"/>
        <v>87</v>
      </c>
      <c r="M19" s="22">
        <f>IF(P19=0,0,MAX(0,MIN(Q19,1440)-MAX(R19,'حساب الشمس'!S15))+MAX(0,MIN(Q19,'حساب الشمس'!R15)-MAX(R19,0))+MAX(0,MIN(Q19,1440+'حساب الشمس'!R15)-MAX(R19,1440)))</f>
        <v>243</v>
      </c>
      <c r="N19" s="22">
        <f t="shared" si="6"/>
        <v>0</v>
      </c>
      <c r="O19" s="17" t="str">
        <f t="shared" si="7"/>
        <v/>
      </c>
      <c r="P19" s="23">
        <f t="shared" si="8"/>
        <v>330</v>
      </c>
      <c r="Q19" s="23">
        <f t="shared" si="9"/>
        <v>1350</v>
      </c>
      <c r="R19" s="23">
        <f t="shared" si="10"/>
        <v>1020</v>
      </c>
    </row>
    <row r="20" spans="1:18" ht="18" customHeight="1" x14ac:dyDescent="0.3">
      <c r="A20" s="16">
        <f>IF(14&lt;=DAY(EOMONTH(MonthStart,0)),MonthStart+14-1,"")</f>
        <v>46309</v>
      </c>
      <c r="B20" s="17" t="str">
        <f t="shared" si="0"/>
        <v>الأربع</v>
      </c>
      <c r="C20" s="18">
        <v>0.375</v>
      </c>
      <c r="D20" s="18">
        <v>0.70833333333333337</v>
      </c>
      <c r="E20" s="19"/>
      <c r="F20" s="17" t="str">
        <f t="shared" si="1"/>
        <v>عمل</v>
      </c>
      <c r="G20" s="20">
        <f>IF(A20="","",'حساب الشمس'!R16/1440)</f>
        <v>0.28888888888888886</v>
      </c>
      <c r="H20" s="20">
        <f>IF(A20="","",'حساب الشمس'!S16/1440)</f>
        <v>0.7680555555555556</v>
      </c>
      <c r="I20" s="21">
        <f t="shared" si="2"/>
        <v>0.33333333333333337</v>
      </c>
      <c r="J20" s="22">
        <f t="shared" si="3"/>
        <v>0</v>
      </c>
      <c r="K20" s="22">
        <f t="shared" si="4"/>
        <v>0</v>
      </c>
      <c r="L20" s="22">
        <f t="shared" si="5"/>
        <v>0</v>
      </c>
      <c r="M20" s="22">
        <f>IF(P20=0,0,MAX(0,MIN(Q20,1440)-MAX(R20,'حساب الشمس'!S16))+MAX(0,MIN(Q20,'حساب الشمس'!R16)-MAX(R20,0))+MAX(0,MIN(Q20,1440+'حساب الشمس'!R16)-MAX(R20,1440)))</f>
        <v>0</v>
      </c>
      <c r="N20" s="22">
        <f t="shared" si="6"/>
        <v>0</v>
      </c>
      <c r="O20" s="17" t="str">
        <f t="shared" si="7"/>
        <v/>
      </c>
      <c r="P20" s="23">
        <f t="shared" si="8"/>
        <v>0</v>
      </c>
      <c r="Q20" s="23">
        <f t="shared" si="9"/>
        <v>1020</v>
      </c>
      <c r="R20" s="23">
        <f t="shared" si="10"/>
        <v>1020</v>
      </c>
    </row>
    <row r="21" spans="1:18" ht="18" customHeight="1" x14ac:dyDescent="0.3">
      <c r="A21" s="16">
        <f>IF(15&lt;=DAY(EOMONTH(MonthStart,0)),MonthStart+15-1,"")</f>
        <v>46310</v>
      </c>
      <c r="B21" s="17" t="str">
        <f t="shared" si="0"/>
        <v>الخميس</v>
      </c>
      <c r="C21" s="18">
        <v>0.375</v>
      </c>
      <c r="D21" s="18">
        <v>0.70833333333333337</v>
      </c>
      <c r="E21" s="19"/>
      <c r="F21" s="17" t="str">
        <f t="shared" si="1"/>
        <v>عمل</v>
      </c>
      <c r="G21" s="20">
        <f>IF(A21="","",'حساب الشمس'!R17/1440)</f>
        <v>0.28958333333333336</v>
      </c>
      <c r="H21" s="20">
        <f>IF(A21="","",'حساب الشمس'!S17/1440)</f>
        <v>0.76736111111111116</v>
      </c>
      <c r="I21" s="21">
        <f t="shared" si="2"/>
        <v>0.33333333333333337</v>
      </c>
      <c r="J21" s="22">
        <f t="shared" si="3"/>
        <v>0</v>
      </c>
      <c r="K21" s="22">
        <f t="shared" si="4"/>
        <v>0</v>
      </c>
      <c r="L21" s="22">
        <f t="shared" si="5"/>
        <v>0</v>
      </c>
      <c r="M21" s="22">
        <f>IF(P21=0,0,MAX(0,MIN(Q21,1440)-MAX(R21,'حساب الشمس'!S17))+MAX(0,MIN(Q21,'حساب الشمس'!R17)-MAX(R21,0))+MAX(0,MIN(Q21,1440+'حساب الشمس'!R17)-MAX(R21,1440)))</f>
        <v>0</v>
      </c>
      <c r="N21" s="22">
        <f t="shared" si="6"/>
        <v>0</v>
      </c>
      <c r="O21" s="17" t="str">
        <f t="shared" si="7"/>
        <v/>
      </c>
      <c r="P21" s="23">
        <f t="shared" si="8"/>
        <v>0</v>
      </c>
      <c r="Q21" s="23">
        <f t="shared" si="9"/>
        <v>1020</v>
      </c>
      <c r="R21" s="23">
        <f t="shared" si="10"/>
        <v>1020</v>
      </c>
    </row>
    <row r="22" spans="1:18" ht="18" customHeight="1" x14ac:dyDescent="0.3">
      <c r="A22" s="16">
        <f>IF(16&lt;=DAY(EOMONTH(MonthStart,0)),MonthStart+16-1,"")</f>
        <v>46311</v>
      </c>
      <c r="B22" s="17" t="str">
        <f t="shared" si="0"/>
        <v>الجمعة</v>
      </c>
      <c r="C22" s="18"/>
      <c r="D22" s="18"/>
      <c r="E22" s="19"/>
      <c r="F22" s="17" t="str">
        <f t="shared" si="1"/>
        <v>راحة</v>
      </c>
      <c r="G22" s="20">
        <f>IF(A22="","",'حساب الشمس'!R18/1440)</f>
        <v>0.2902777777777778</v>
      </c>
      <c r="H22" s="20">
        <f>IF(A22="","",'حساب الشمس'!S18/1440)</f>
        <v>0.76666666666666672</v>
      </c>
      <c r="I22" s="21" t="str">
        <f t="shared" si="2"/>
        <v/>
      </c>
      <c r="J22" s="22" t="str">
        <f t="shared" si="3"/>
        <v/>
      </c>
      <c r="K22" s="22" t="str">
        <f t="shared" si="4"/>
        <v/>
      </c>
      <c r="L22" s="22">
        <f t="shared" si="5"/>
        <v>0</v>
      </c>
      <c r="M22" s="22">
        <f>IF(P22=0,0,MAX(0,MIN(Q22,1440)-MAX(R22,'حساب الشمس'!S18))+MAX(0,MIN(Q22,'حساب الشمس'!R18)-MAX(R22,0))+MAX(0,MIN(Q22,1440+'حساب الشمس'!R18)-MAX(R22,1440)))</f>
        <v>0</v>
      </c>
      <c r="N22" s="22">
        <f t="shared" si="6"/>
        <v>0</v>
      </c>
      <c r="O22" s="17" t="str">
        <f t="shared" si="7"/>
        <v/>
      </c>
      <c r="P22" s="23">
        <f t="shared" si="8"/>
        <v>0</v>
      </c>
      <c r="Q22" s="23">
        <f t="shared" si="9"/>
        <v>0</v>
      </c>
      <c r="R22" s="23">
        <f t="shared" si="10"/>
        <v>0</v>
      </c>
    </row>
    <row r="23" spans="1:18" ht="18" customHeight="1" x14ac:dyDescent="0.3">
      <c r="A23" s="16">
        <f>IF(17&lt;=DAY(EOMONTH(MonthStart,0)),MonthStart+17-1,"")</f>
        <v>46312</v>
      </c>
      <c r="B23" s="17" t="str">
        <f t="shared" si="0"/>
        <v>السبت</v>
      </c>
      <c r="C23" s="18">
        <v>0.375</v>
      </c>
      <c r="D23" s="18">
        <v>0.70833333333333337</v>
      </c>
      <c r="E23" s="19"/>
      <c r="F23" s="17" t="str">
        <f t="shared" si="1"/>
        <v>عمل</v>
      </c>
      <c r="G23" s="20">
        <f>IF(A23="","",'حساب الشمس'!R19/1440)</f>
        <v>0.2902777777777778</v>
      </c>
      <c r="H23" s="20">
        <f>IF(A23="","",'حساب الشمس'!S19/1440)</f>
        <v>0.76597222222222228</v>
      </c>
      <c r="I23" s="21">
        <f t="shared" si="2"/>
        <v>0.33333333333333337</v>
      </c>
      <c r="J23" s="22">
        <f t="shared" si="3"/>
        <v>0</v>
      </c>
      <c r="K23" s="22">
        <f t="shared" si="4"/>
        <v>0</v>
      </c>
      <c r="L23" s="22">
        <f t="shared" si="5"/>
        <v>0</v>
      </c>
      <c r="M23" s="22">
        <f>IF(P23=0,0,MAX(0,MIN(Q23,1440)-MAX(R23,'حساب الشمس'!S19))+MAX(0,MIN(Q23,'حساب الشمس'!R19)-MAX(R23,0))+MAX(0,MIN(Q23,1440+'حساب الشمس'!R19)-MAX(R23,1440)))</f>
        <v>0</v>
      </c>
      <c r="N23" s="22">
        <f t="shared" si="6"/>
        <v>0</v>
      </c>
      <c r="O23" s="17" t="str">
        <f t="shared" si="7"/>
        <v/>
      </c>
      <c r="P23" s="23">
        <f t="shared" si="8"/>
        <v>0</v>
      </c>
      <c r="Q23" s="23">
        <f t="shared" si="9"/>
        <v>1020</v>
      </c>
      <c r="R23" s="23">
        <f t="shared" si="10"/>
        <v>1020</v>
      </c>
    </row>
    <row r="24" spans="1:18" ht="18" customHeight="1" x14ac:dyDescent="0.3">
      <c r="A24" s="16">
        <f>IF(18&lt;=DAY(EOMONTH(MonthStart,0)),MonthStart+18-1,"")</f>
        <v>46313</v>
      </c>
      <c r="B24" s="17" t="str">
        <f t="shared" si="0"/>
        <v>الأحد</v>
      </c>
      <c r="C24" s="18">
        <v>0.375</v>
      </c>
      <c r="D24" s="18">
        <v>0.70833333333333337</v>
      </c>
      <c r="E24" s="19"/>
      <c r="F24" s="17" t="str">
        <f t="shared" si="1"/>
        <v>عمل</v>
      </c>
      <c r="G24" s="20">
        <f>IF(A24="","",'حساب الشمس'!R20/1440)</f>
        <v>0.29097222222222224</v>
      </c>
      <c r="H24" s="20">
        <f>IF(A24="","",'حساب الشمس'!S20/1440)</f>
        <v>0.76458333333333328</v>
      </c>
      <c r="I24" s="21">
        <f t="shared" si="2"/>
        <v>0.33333333333333337</v>
      </c>
      <c r="J24" s="22">
        <f t="shared" si="3"/>
        <v>0</v>
      </c>
      <c r="K24" s="22">
        <f t="shared" si="4"/>
        <v>0</v>
      </c>
      <c r="L24" s="22">
        <f t="shared" si="5"/>
        <v>0</v>
      </c>
      <c r="M24" s="22">
        <f>IF(P24=0,0,MAX(0,MIN(Q24,1440)-MAX(R24,'حساب الشمس'!S20))+MAX(0,MIN(Q24,'حساب الشمس'!R20)-MAX(R24,0))+MAX(0,MIN(Q24,1440+'حساب الشمس'!R20)-MAX(R24,1440)))</f>
        <v>0</v>
      </c>
      <c r="N24" s="22">
        <f t="shared" si="6"/>
        <v>0</v>
      </c>
      <c r="O24" s="17" t="str">
        <f t="shared" si="7"/>
        <v/>
      </c>
      <c r="P24" s="23">
        <f t="shared" si="8"/>
        <v>0</v>
      </c>
      <c r="Q24" s="23">
        <f t="shared" si="9"/>
        <v>1020</v>
      </c>
      <c r="R24" s="23">
        <f t="shared" si="10"/>
        <v>1020</v>
      </c>
    </row>
    <row r="25" spans="1:18" ht="18" customHeight="1" x14ac:dyDescent="0.3">
      <c r="A25" s="16">
        <f>IF(19&lt;=DAY(EOMONTH(MonthStart,0)),MonthStart+19-1,"")</f>
        <v>46314</v>
      </c>
      <c r="B25" s="17" t="str">
        <f t="shared" si="0"/>
        <v>الاتنين</v>
      </c>
      <c r="C25" s="18">
        <v>0.375</v>
      </c>
      <c r="D25" s="18">
        <v>0.70833333333333337</v>
      </c>
      <c r="E25" s="19"/>
      <c r="F25" s="17" t="str">
        <f t="shared" si="1"/>
        <v>عمل</v>
      </c>
      <c r="G25" s="20">
        <f>IF(A25="","",'حساب الشمس'!R21/1440)</f>
        <v>0.29166666666666669</v>
      </c>
      <c r="H25" s="20">
        <f>IF(A25="","",'حساب الشمس'!S21/1440)</f>
        <v>0.76388888888888884</v>
      </c>
      <c r="I25" s="21">
        <f t="shared" si="2"/>
        <v>0.33333333333333337</v>
      </c>
      <c r="J25" s="22">
        <f t="shared" si="3"/>
        <v>0</v>
      </c>
      <c r="K25" s="22">
        <f t="shared" si="4"/>
        <v>0</v>
      </c>
      <c r="L25" s="22">
        <f t="shared" si="5"/>
        <v>0</v>
      </c>
      <c r="M25" s="22">
        <f>IF(P25=0,0,MAX(0,MIN(Q25,1440)-MAX(R25,'حساب الشمس'!S21))+MAX(0,MIN(Q25,'حساب الشمس'!R21)-MAX(R25,0))+MAX(0,MIN(Q25,1440+'حساب الشمس'!R21)-MAX(R25,1440)))</f>
        <v>0</v>
      </c>
      <c r="N25" s="22">
        <f t="shared" si="6"/>
        <v>0</v>
      </c>
      <c r="O25" s="17" t="str">
        <f t="shared" si="7"/>
        <v/>
      </c>
      <c r="P25" s="23">
        <f t="shared" si="8"/>
        <v>0</v>
      </c>
      <c r="Q25" s="23">
        <f t="shared" si="9"/>
        <v>1020</v>
      </c>
      <c r="R25" s="23">
        <f t="shared" si="10"/>
        <v>1020</v>
      </c>
    </row>
    <row r="26" spans="1:18" ht="18" customHeight="1" x14ac:dyDescent="0.3">
      <c r="A26" s="16">
        <f>IF(20&lt;=DAY(EOMONTH(MonthStart,0)),MonthStart+20-1,"")</f>
        <v>46315</v>
      </c>
      <c r="B26" s="17" t="str">
        <f t="shared" si="0"/>
        <v>التلات</v>
      </c>
      <c r="C26" s="18">
        <v>0.375</v>
      </c>
      <c r="D26" s="18">
        <v>0.70833333333333337</v>
      </c>
      <c r="E26" s="19"/>
      <c r="F26" s="17" t="str">
        <f t="shared" si="1"/>
        <v>عمل</v>
      </c>
      <c r="G26" s="20">
        <f>IF(A26="","",'حساب الشمس'!R22/1440)</f>
        <v>0.29166666666666669</v>
      </c>
      <c r="H26" s="20">
        <f>IF(A26="","",'حساب الشمس'!S22/1440)</f>
        <v>0.7631944444444444</v>
      </c>
      <c r="I26" s="21">
        <f t="shared" si="2"/>
        <v>0.33333333333333337</v>
      </c>
      <c r="J26" s="22">
        <f t="shared" si="3"/>
        <v>0</v>
      </c>
      <c r="K26" s="22">
        <f t="shared" si="4"/>
        <v>0</v>
      </c>
      <c r="L26" s="22">
        <f t="shared" si="5"/>
        <v>0</v>
      </c>
      <c r="M26" s="22">
        <f>IF(P26=0,0,MAX(0,MIN(Q26,1440)-MAX(R26,'حساب الشمس'!S22))+MAX(0,MIN(Q26,'حساب الشمس'!R22)-MAX(R26,0))+MAX(0,MIN(Q26,1440+'حساب الشمس'!R22)-MAX(R26,1440)))</f>
        <v>0</v>
      </c>
      <c r="N26" s="22">
        <f t="shared" si="6"/>
        <v>0</v>
      </c>
      <c r="O26" s="17" t="str">
        <f t="shared" si="7"/>
        <v/>
      </c>
      <c r="P26" s="23">
        <f t="shared" si="8"/>
        <v>0</v>
      </c>
      <c r="Q26" s="23">
        <f t="shared" si="9"/>
        <v>1020</v>
      </c>
      <c r="R26" s="23">
        <f t="shared" si="10"/>
        <v>1020</v>
      </c>
    </row>
    <row r="27" spans="1:18" ht="18" customHeight="1" x14ac:dyDescent="0.3">
      <c r="A27" s="16">
        <f>IF(21&lt;=DAY(EOMONTH(MonthStart,0)),MonthStart+21-1,"")</f>
        <v>46316</v>
      </c>
      <c r="B27" s="17" t="str">
        <f t="shared" si="0"/>
        <v>الأربع</v>
      </c>
      <c r="C27" s="18">
        <v>0.375</v>
      </c>
      <c r="D27" s="18">
        <v>0.70833333333333337</v>
      </c>
      <c r="E27" s="19"/>
      <c r="F27" s="17" t="str">
        <f t="shared" si="1"/>
        <v>عمل</v>
      </c>
      <c r="G27" s="20">
        <f>IF(A27="","",'حساب الشمس'!R23/1440)</f>
        <v>0.29236111111111113</v>
      </c>
      <c r="H27" s="20">
        <f>IF(A27="","",'حساب الشمس'!S23/1440)</f>
        <v>0.76249999999999996</v>
      </c>
      <c r="I27" s="21">
        <f t="shared" si="2"/>
        <v>0.33333333333333337</v>
      </c>
      <c r="J27" s="22">
        <f t="shared" si="3"/>
        <v>0</v>
      </c>
      <c r="K27" s="22">
        <f t="shared" si="4"/>
        <v>0</v>
      </c>
      <c r="L27" s="22">
        <f t="shared" si="5"/>
        <v>0</v>
      </c>
      <c r="M27" s="22">
        <f>IF(P27=0,0,MAX(0,MIN(Q27,1440)-MAX(R27,'حساب الشمس'!S23))+MAX(0,MIN(Q27,'حساب الشمس'!R23)-MAX(R27,0))+MAX(0,MIN(Q27,1440+'حساب الشمس'!R23)-MAX(R27,1440)))</f>
        <v>0</v>
      </c>
      <c r="N27" s="22">
        <f t="shared" si="6"/>
        <v>0</v>
      </c>
      <c r="O27" s="17" t="str">
        <f t="shared" si="7"/>
        <v/>
      </c>
      <c r="P27" s="23">
        <f t="shared" si="8"/>
        <v>0</v>
      </c>
      <c r="Q27" s="23">
        <f t="shared" si="9"/>
        <v>1020</v>
      </c>
      <c r="R27" s="23">
        <f t="shared" si="10"/>
        <v>1020</v>
      </c>
    </row>
    <row r="28" spans="1:18" ht="18" customHeight="1" x14ac:dyDescent="0.3">
      <c r="A28" s="16">
        <f>IF(22&lt;=DAY(EOMONTH(MonthStart,0)),MonthStart+22-1,"")</f>
        <v>46317</v>
      </c>
      <c r="B28" s="17" t="str">
        <f t="shared" si="0"/>
        <v>الخميس</v>
      </c>
      <c r="C28" s="18">
        <v>0.375</v>
      </c>
      <c r="D28" s="18">
        <v>0.77083333333333337</v>
      </c>
      <c r="E28" s="19"/>
      <c r="F28" s="17" t="str">
        <f t="shared" si="1"/>
        <v>عمل</v>
      </c>
      <c r="G28" s="20">
        <f>IF(A28="","",'حساب الشمس'!R24/1440)</f>
        <v>0.29305555555555557</v>
      </c>
      <c r="H28" s="20">
        <f>IF(A28="","",'حساب الشمس'!S24/1440)</f>
        <v>0.76180555555555551</v>
      </c>
      <c r="I28" s="21">
        <f t="shared" si="2"/>
        <v>0.39583333333333337</v>
      </c>
      <c r="J28" s="22">
        <f t="shared" si="3"/>
        <v>0</v>
      </c>
      <c r="K28" s="22">
        <f t="shared" si="4"/>
        <v>0</v>
      </c>
      <c r="L28" s="22">
        <f t="shared" si="5"/>
        <v>77</v>
      </c>
      <c r="M28" s="22">
        <f>IF(P28=0,0,MAX(0,MIN(Q28,1440)-MAX(R28,'حساب الشمس'!S24))+MAX(0,MIN(Q28,'حساب الشمس'!R24)-MAX(R28,0))+MAX(0,MIN(Q28,1440+'حساب الشمس'!R24)-MAX(R28,1440)))</f>
        <v>13</v>
      </c>
      <c r="N28" s="22">
        <f t="shared" si="6"/>
        <v>0</v>
      </c>
      <c r="O28" s="17" t="str">
        <f t="shared" si="7"/>
        <v/>
      </c>
      <c r="P28" s="23">
        <f t="shared" si="8"/>
        <v>90</v>
      </c>
      <c r="Q28" s="23">
        <f t="shared" si="9"/>
        <v>1110</v>
      </c>
      <c r="R28" s="23">
        <f t="shared" si="10"/>
        <v>1020</v>
      </c>
    </row>
    <row r="29" spans="1:18" ht="18" customHeight="1" x14ac:dyDescent="0.3">
      <c r="A29" s="16">
        <f>IF(23&lt;=DAY(EOMONTH(MonthStart,0)),MonthStart+23-1,"")</f>
        <v>46318</v>
      </c>
      <c r="B29" s="17" t="str">
        <f t="shared" si="0"/>
        <v>الجمعة</v>
      </c>
      <c r="C29" s="18"/>
      <c r="D29" s="18"/>
      <c r="E29" s="19"/>
      <c r="F29" s="17" t="str">
        <f t="shared" si="1"/>
        <v>راحة</v>
      </c>
      <c r="G29" s="20">
        <f>IF(A29="","",'حساب الشمس'!R25/1440)</f>
        <v>0.29305555555555557</v>
      </c>
      <c r="H29" s="20">
        <f>IF(A29="","",'حساب الشمس'!S25/1440)</f>
        <v>0.76111111111111107</v>
      </c>
      <c r="I29" s="21" t="str">
        <f t="shared" si="2"/>
        <v/>
      </c>
      <c r="J29" s="22" t="str">
        <f t="shared" si="3"/>
        <v/>
      </c>
      <c r="K29" s="22" t="str">
        <f t="shared" si="4"/>
        <v/>
      </c>
      <c r="L29" s="22">
        <f t="shared" si="5"/>
        <v>0</v>
      </c>
      <c r="M29" s="22">
        <f>IF(P29=0,0,MAX(0,MIN(Q29,1440)-MAX(R29,'حساب الشمس'!S25))+MAX(0,MIN(Q29,'حساب الشمس'!R25)-MAX(R29,0))+MAX(0,MIN(Q29,1440+'حساب الشمس'!R25)-MAX(R29,1440)))</f>
        <v>0</v>
      </c>
      <c r="N29" s="22">
        <f t="shared" si="6"/>
        <v>0</v>
      </c>
      <c r="O29" s="17" t="str">
        <f t="shared" si="7"/>
        <v/>
      </c>
      <c r="P29" s="23">
        <f t="shared" si="8"/>
        <v>0</v>
      </c>
      <c r="Q29" s="23">
        <f t="shared" si="9"/>
        <v>0</v>
      </c>
      <c r="R29" s="23">
        <f t="shared" si="10"/>
        <v>0</v>
      </c>
    </row>
    <row r="30" spans="1:18" ht="18" customHeight="1" x14ac:dyDescent="0.3">
      <c r="A30" s="16">
        <f>IF(24&lt;=DAY(EOMONTH(MonthStart,0)),MonthStart+24-1,"")</f>
        <v>46319</v>
      </c>
      <c r="B30" s="17" t="str">
        <f t="shared" si="0"/>
        <v>السبت</v>
      </c>
      <c r="C30" s="18">
        <v>0.375</v>
      </c>
      <c r="D30" s="18">
        <v>0.70833333333333337</v>
      </c>
      <c r="E30" s="19"/>
      <c r="F30" s="17" t="str">
        <f t="shared" si="1"/>
        <v>عمل</v>
      </c>
      <c r="G30" s="20">
        <f>IF(A30="","",'حساب الشمس'!R26/1440)</f>
        <v>0.29375000000000001</v>
      </c>
      <c r="H30" s="20">
        <f>IF(A30="","",'حساب الشمس'!S26/1440)</f>
        <v>0.76041666666666663</v>
      </c>
      <c r="I30" s="21">
        <f t="shared" si="2"/>
        <v>0.33333333333333337</v>
      </c>
      <c r="J30" s="22">
        <f t="shared" si="3"/>
        <v>0</v>
      </c>
      <c r="K30" s="22">
        <f t="shared" si="4"/>
        <v>0</v>
      </c>
      <c r="L30" s="22">
        <f t="shared" si="5"/>
        <v>0</v>
      </c>
      <c r="M30" s="22">
        <f>IF(P30=0,0,MAX(0,MIN(Q30,1440)-MAX(R30,'حساب الشمس'!S26))+MAX(0,MIN(Q30,'حساب الشمس'!R26)-MAX(R30,0))+MAX(0,MIN(Q30,1440+'حساب الشمس'!R26)-MAX(R30,1440)))</f>
        <v>0</v>
      </c>
      <c r="N30" s="22">
        <f t="shared" si="6"/>
        <v>0</v>
      </c>
      <c r="O30" s="17" t="str">
        <f t="shared" si="7"/>
        <v/>
      </c>
      <c r="P30" s="23">
        <f t="shared" si="8"/>
        <v>0</v>
      </c>
      <c r="Q30" s="23">
        <f t="shared" si="9"/>
        <v>1020</v>
      </c>
      <c r="R30" s="23">
        <f t="shared" si="10"/>
        <v>1020</v>
      </c>
    </row>
    <row r="31" spans="1:18" ht="18" customHeight="1" x14ac:dyDescent="0.3">
      <c r="A31" s="16">
        <f>IF(25&lt;=DAY(EOMONTH(MonthStart,0)),MonthStart+25-1,"")</f>
        <v>46320</v>
      </c>
      <c r="B31" s="17" t="str">
        <f t="shared" si="0"/>
        <v>الأحد</v>
      </c>
      <c r="C31" s="18">
        <v>0.375</v>
      </c>
      <c r="D31" s="18">
        <v>0.70833333333333337</v>
      </c>
      <c r="E31" s="19"/>
      <c r="F31" s="17" t="str">
        <f t="shared" si="1"/>
        <v>عمل</v>
      </c>
      <c r="G31" s="20">
        <f>IF(A31="","",'حساب الشمس'!R27/1440)</f>
        <v>0.29444444444444445</v>
      </c>
      <c r="H31" s="20">
        <f>IF(A31="","",'حساب الشمس'!S27/1440)</f>
        <v>0.75972222222222219</v>
      </c>
      <c r="I31" s="21">
        <f t="shared" si="2"/>
        <v>0.33333333333333337</v>
      </c>
      <c r="J31" s="22">
        <f t="shared" si="3"/>
        <v>0</v>
      </c>
      <c r="K31" s="22">
        <f t="shared" si="4"/>
        <v>0</v>
      </c>
      <c r="L31" s="22">
        <f t="shared" si="5"/>
        <v>0</v>
      </c>
      <c r="M31" s="22">
        <f>IF(P31=0,0,MAX(0,MIN(Q31,1440)-MAX(R31,'حساب الشمس'!S27))+MAX(0,MIN(Q31,'حساب الشمس'!R27)-MAX(R31,0))+MAX(0,MIN(Q31,1440+'حساب الشمس'!R27)-MAX(R31,1440)))</f>
        <v>0</v>
      </c>
      <c r="N31" s="22">
        <f t="shared" si="6"/>
        <v>0</v>
      </c>
      <c r="O31" s="17" t="str">
        <f t="shared" si="7"/>
        <v/>
      </c>
      <c r="P31" s="23">
        <f t="shared" si="8"/>
        <v>0</v>
      </c>
      <c r="Q31" s="23">
        <f t="shared" si="9"/>
        <v>1020</v>
      </c>
      <c r="R31" s="23">
        <f t="shared" si="10"/>
        <v>1020</v>
      </c>
    </row>
    <row r="32" spans="1:18" ht="18" customHeight="1" x14ac:dyDescent="0.3">
      <c r="A32" s="16">
        <f>IF(26&lt;=DAY(EOMONTH(MonthStart,0)),MonthStart+26-1,"")</f>
        <v>46321</v>
      </c>
      <c r="B32" s="17" t="str">
        <f t="shared" si="0"/>
        <v>الاتنين</v>
      </c>
      <c r="C32" s="18">
        <v>0.375</v>
      </c>
      <c r="D32" s="18">
        <v>0.70833333333333337</v>
      </c>
      <c r="E32" s="19"/>
      <c r="F32" s="17" t="str">
        <f t="shared" si="1"/>
        <v>عمل</v>
      </c>
      <c r="G32" s="20">
        <f>IF(A32="","",'حساب الشمس'!R28/1440)</f>
        <v>0.29444444444444445</v>
      </c>
      <c r="H32" s="20">
        <f>IF(A32="","",'حساب الشمس'!S28/1440)</f>
        <v>0.75902777777777775</v>
      </c>
      <c r="I32" s="21">
        <f t="shared" si="2"/>
        <v>0.33333333333333337</v>
      </c>
      <c r="J32" s="22">
        <f t="shared" si="3"/>
        <v>0</v>
      </c>
      <c r="K32" s="22">
        <f t="shared" si="4"/>
        <v>0</v>
      </c>
      <c r="L32" s="22">
        <f t="shared" si="5"/>
        <v>0</v>
      </c>
      <c r="M32" s="22">
        <f>IF(P32=0,0,MAX(0,MIN(Q32,1440)-MAX(R32,'حساب الشمس'!S28))+MAX(0,MIN(Q32,'حساب الشمس'!R28)-MAX(R32,0))+MAX(0,MIN(Q32,1440+'حساب الشمس'!R28)-MAX(R32,1440)))</f>
        <v>0</v>
      </c>
      <c r="N32" s="22">
        <f t="shared" si="6"/>
        <v>0</v>
      </c>
      <c r="O32" s="17" t="str">
        <f t="shared" si="7"/>
        <v/>
      </c>
      <c r="P32" s="23">
        <f t="shared" si="8"/>
        <v>0</v>
      </c>
      <c r="Q32" s="23">
        <f t="shared" si="9"/>
        <v>1020</v>
      </c>
      <c r="R32" s="23">
        <f t="shared" si="10"/>
        <v>1020</v>
      </c>
    </row>
    <row r="33" spans="1:18" ht="18" customHeight="1" x14ac:dyDescent="0.3">
      <c r="A33" s="16">
        <f>IF(27&lt;=DAY(EOMONTH(MonthStart,0)),MonthStart+27-1,"")</f>
        <v>46322</v>
      </c>
      <c r="B33" s="17" t="str">
        <f t="shared" si="0"/>
        <v>التلات</v>
      </c>
      <c r="C33" s="18">
        <v>0.375</v>
      </c>
      <c r="D33" s="18">
        <v>0.70833333333333337</v>
      </c>
      <c r="E33" s="19"/>
      <c r="F33" s="17" t="str">
        <f t="shared" si="1"/>
        <v>عمل</v>
      </c>
      <c r="G33" s="20">
        <f>IF(A33="","",'حساب الشمس'!R29/1440)</f>
        <v>0.2951388888888889</v>
      </c>
      <c r="H33" s="20">
        <f>IF(A33="","",'حساب الشمس'!S29/1440)</f>
        <v>0.75902777777777775</v>
      </c>
      <c r="I33" s="21">
        <f t="shared" si="2"/>
        <v>0.33333333333333337</v>
      </c>
      <c r="J33" s="22">
        <f t="shared" si="3"/>
        <v>0</v>
      </c>
      <c r="K33" s="22">
        <f t="shared" si="4"/>
        <v>0</v>
      </c>
      <c r="L33" s="22">
        <f t="shared" si="5"/>
        <v>0</v>
      </c>
      <c r="M33" s="22">
        <f>IF(P33=0,0,MAX(0,MIN(Q33,1440)-MAX(R33,'حساب الشمس'!S29))+MAX(0,MIN(Q33,'حساب الشمس'!R29)-MAX(R33,0))+MAX(0,MIN(Q33,1440+'حساب الشمس'!R29)-MAX(R33,1440)))</f>
        <v>0</v>
      </c>
      <c r="N33" s="22">
        <f t="shared" si="6"/>
        <v>0</v>
      </c>
      <c r="O33" s="17" t="str">
        <f t="shared" si="7"/>
        <v/>
      </c>
      <c r="P33" s="23">
        <f t="shared" si="8"/>
        <v>0</v>
      </c>
      <c r="Q33" s="23">
        <f t="shared" si="9"/>
        <v>1020</v>
      </c>
      <c r="R33" s="23">
        <f t="shared" si="10"/>
        <v>1020</v>
      </c>
    </row>
    <row r="34" spans="1:18" ht="18" customHeight="1" x14ac:dyDescent="0.3">
      <c r="A34" s="16">
        <f>IF(28&lt;=DAY(EOMONTH(MonthStart,0)),MonthStart+28-1,"")</f>
        <v>46323</v>
      </c>
      <c r="B34" s="17" t="str">
        <f t="shared" si="0"/>
        <v>الأربع</v>
      </c>
      <c r="C34" s="18">
        <v>0.375</v>
      </c>
      <c r="D34" s="18">
        <v>0.70833333333333337</v>
      </c>
      <c r="E34" s="19"/>
      <c r="F34" s="17" t="str">
        <f t="shared" si="1"/>
        <v>عمل</v>
      </c>
      <c r="G34" s="20">
        <f>IF(A34="","",'حساب الشمس'!R30/1440)</f>
        <v>0.29583333333333334</v>
      </c>
      <c r="H34" s="20">
        <f>IF(A34="","",'حساب الشمس'!S30/1440)</f>
        <v>0.7583333333333333</v>
      </c>
      <c r="I34" s="21">
        <f t="shared" si="2"/>
        <v>0.33333333333333337</v>
      </c>
      <c r="J34" s="22">
        <f t="shared" si="3"/>
        <v>0</v>
      </c>
      <c r="K34" s="22">
        <f t="shared" si="4"/>
        <v>0</v>
      </c>
      <c r="L34" s="22">
        <f t="shared" si="5"/>
        <v>0</v>
      </c>
      <c r="M34" s="22">
        <f>IF(P34=0,0,MAX(0,MIN(Q34,1440)-MAX(R34,'حساب الشمس'!S30))+MAX(0,MIN(Q34,'حساب الشمس'!R30)-MAX(R34,0))+MAX(0,MIN(Q34,1440+'حساب الشمس'!R30)-MAX(R34,1440)))</f>
        <v>0</v>
      </c>
      <c r="N34" s="22">
        <f t="shared" si="6"/>
        <v>0</v>
      </c>
      <c r="O34" s="17" t="str">
        <f t="shared" si="7"/>
        <v/>
      </c>
      <c r="P34" s="23">
        <f t="shared" si="8"/>
        <v>0</v>
      </c>
      <c r="Q34" s="23">
        <f t="shared" si="9"/>
        <v>1020</v>
      </c>
      <c r="R34" s="23">
        <f t="shared" si="10"/>
        <v>1020</v>
      </c>
    </row>
    <row r="35" spans="1:18" ht="18" customHeight="1" x14ac:dyDescent="0.3">
      <c r="A35" s="16">
        <f>IF(29&lt;=DAY(EOMONTH(MonthStart,0)),MonthStart+29-1,"")</f>
        <v>46324</v>
      </c>
      <c r="B35" s="17" t="str">
        <f t="shared" si="0"/>
        <v>الخميس</v>
      </c>
      <c r="C35" s="18">
        <v>0.375</v>
      </c>
      <c r="D35" s="18">
        <v>0.70833333333333337</v>
      </c>
      <c r="E35" s="19"/>
      <c r="F35" s="17" t="str">
        <f t="shared" si="1"/>
        <v>عمل</v>
      </c>
      <c r="G35" s="20">
        <f>IF(A35="","",'حساب الشمس'!R31/1440)</f>
        <v>0.29652777777777778</v>
      </c>
      <c r="H35" s="20">
        <f>IF(A35="","",'حساب الشمس'!S31/1440)</f>
        <v>0.75763888888888886</v>
      </c>
      <c r="I35" s="21">
        <f t="shared" si="2"/>
        <v>0.33333333333333337</v>
      </c>
      <c r="J35" s="22">
        <f t="shared" si="3"/>
        <v>0</v>
      </c>
      <c r="K35" s="22">
        <f t="shared" si="4"/>
        <v>0</v>
      </c>
      <c r="L35" s="22">
        <f t="shared" si="5"/>
        <v>0</v>
      </c>
      <c r="M35" s="22">
        <f>IF(P35=0,0,MAX(0,MIN(Q35,1440)-MAX(R35,'حساب الشمس'!S31))+MAX(0,MIN(Q35,'حساب الشمس'!R31)-MAX(R35,0))+MAX(0,MIN(Q35,1440+'حساب الشمس'!R31)-MAX(R35,1440)))</f>
        <v>0</v>
      </c>
      <c r="N35" s="22">
        <f t="shared" si="6"/>
        <v>0</v>
      </c>
      <c r="O35" s="17" t="str">
        <f t="shared" si="7"/>
        <v/>
      </c>
      <c r="P35" s="23">
        <f t="shared" si="8"/>
        <v>0</v>
      </c>
      <c r="Q35" s="23">
        <f t="shared" si="9"/>
        <v>1020</v>
      </c>
      <c r="R35" s="23">
        <f t="shared" si="10"/>
        <v>1020</v>
      </c>
    </row>
    <row r="36" spans="1:18" ht="18" customHeight="1" x14ac:dyDescent="0.3">
      <c r="A36" s="16">
        <f>IF(30&lt;=DAY(EOMONTH(MonthStart,0)),MonthStart+30-1,"")</f>
        <v>46325</v>
      </c>
      <c r="B36" s="17" t="str">
        <f t="shared" si="0"/>
        <v>الجمعة</v>
      </c>
      <c r="C36" s="18"/>
      <c r="D36" s="18"/>
      <c r="E36" s="19"/>
      <c r="F36" s="17" t="str">
        <f t="shared" si="1"/>
        <v>راحة</v>
      </c>
      <c r="G36" s="20">
        <f>IF(A36="","",'حساب الشمس'!R32/1440)</f>
        <v>0.25486111111111109</v>
      </c>
      <c r="H36" s="20">
        <f>IF(A36="","",'حساب الشمس'!S32/1440)</f>
        <v>0.71527777777777779</v>
      </c>
      <c r="I36" s="21" t="str">
        <f t="shared" si="2"/>
        <v/>
      </c>
      <c r="J36" s="22" t="str">
        <f t="shared" si="3"/>
        <v/>
      </c>
      <c r="K36" s="22" t="str">
        <f t="shared" si="4"/>
        <v/>
      </c>
      <c r="L36" s="22">
        <f t="shared" si="5"/>
        <v>0</v>
      </c>
      <c r="M36" s="22">
        <f>IF(P36=0,0,MAX(0,MIN(Q36,1440)-MAX(R36,'حساب الشمس'!S32))+MAX(0,MIN(Q36,'حساب الشمس'!R32)-MAX(R36,0))+MAX(0,MIN(Q36,1440+'حساب الشمس'!R32)-MAX(R36,1440)))</f>
        <v>0</v>
      </c>
      <c r="N36" s="22">
        <f t="shared" si="6"/>
        <v>0</v>
      </c>
      <c r="O36" s="17" t="str">
        <f t="shared" si="7"/>
        <v/>
      </c>
      <c r="P36" s="23">
        <f t="shared" si="8"/>
        <v>0</v>
      </c>
      <c r="Q36" s="23">
        <f t="shared" si="9"/>
        <v>0</v>
      </c>
      <c r="R36" s="23">
        <f t="shared" si="10"/>
        <v>0</v>
      </c>
    </row>
    <row r="37" spans="1:18" ht="18" customHeight="1" x14ac:dyDescent="0.3">
      <c r="A37" s="16">
        <f>IF(31&lt;=DAY(EOMONTH(MonthStart,0)),MonthStart+31-1,"")</f>
        <v>46326</v>
      </c>
      <c r="B37" s="17" t="str">
        <f t="shared" si="0"/>
        <v>السبت</v>
      </c>
      <c r="C37" s="18">
        <v>0.375</v>
      </c>
      <c r="D37" s="18">
        <v>0.70833333333333337</v>
      </c>
      <c r="E37" s="19"/>
      <c r="F37" s="17" t="str">
        <f t="shared" si="1"/>
        <v>عمل</v>
      </c>
      <c r="G37" s="20">
        <f>IF(A37="","",'حساب الشمس'!R33/1440)</f>
        <v>0.25555555555555554</v>
      </c>
      <c r="H37" s="20">
        <f>IF(A37="","",'حساب الشمس'!S33/1440)</f>
        <v>0.71458333333333335</v>
      </c>
      <c r="I37" s="21">
        <f t="shared" si="2"/>
        <v>0.33333333333333337</v>
      </c>
      <c r="J37" s="22">
        <f t="shared" si="3"/>
        <v>0</v>
      </c>
      <c r="K37" s="22">
        <f t="shared" si="4"/>
        <v>0</v>
      </c>
      <c r="L37" s="22">
        <f t="shared" si="5"/>
        <v>0</v>
      </c>
      <c r="M37" s="22">
        <f>IF(P37=0,0,MAX(0,MIN(Q37,1440)-MAX(R37,'حساب الشمس'!S33))+MAX(0,MIN(Q37,'حساب الشمس'!R33)-MAX(R37,0))+MAX(0,MIN(Q37,1440+'حساب الشمس'!R33)-MAX(R37,1440)))</f>
        <v>0</v>
      </c>
      <c r="N37" s="22">
        <f t="shared" si="6"/>
        <v>0</v>
      </c>
      <c r="O37" s="17" t="str">
        <f t="shared" si="7"/>
        <v/>
      </c>
      <c r="P37" s="23">
        <f t="shared" si="8"/>
        <v>0</v>
      </c>
      <c r="Q37" s="23">
        <f t="shared" si="9"/>
        <v>1020</v>
      </c>
      <c r="R37" s="23">
        <f t="shared" si="10"/>
        <v>1020</v>
      </c>
    </row>
    <row r="39" spans="1:18" ht="22.8" x14ac:dyDescent="0.3">
      <c r="A39" s="42" t="s">
        <v>63</v>
      </c>
      <c r="B39" s="33"/>
      <c r="C39" s="33"/>
      <c r="D39" s="33"/>
      <c r="E39" s="33"/>
      <c r="F39" s="33"/>
      <c r="G39" s="33"/>
      <c r="H39" s="33"/>
      <c r="I39" s="33"/>
      <c r="J39" s="25">
        <f>SUM(J7:J37)</f>
        <v>25</v>
      </c>
      <c r="K39" s="25">
        <f>SUM(K7:K37)</f>
        <v>30</v>
      </c>
      <c r="L39" s="25">
        <f>SUM(L7:L37)</f>
        <v>358</v>
      </c>
      <c r="M39" s="25">
        <f>SUM(M7:M37)</f>
        <v>367</v>
      </c>
      <c r="N39" s="25">
        <f>SUM(N7:N37)</f>
        <v>300</v>
      </c>
      <c r="O39" s="26" t="str">
        <f>COUNTIF(O7:O37,"غياب")&amp;" غياب · "&amp;COUNTIF(O7:O37,"بصمة ناقصة")&amp;" ناقصة"</f>
        <v>1 غياب · 1 ناقصة</v>
      </c>
    </row>
    <row r="41" spans="1:18" x14ac:dyDescent="0.3">
      <c r="A41" s="42"/>
      <c r="B41" s="33"/>
      <c r="C41" s="33"/>
      <c r="D41" s="33"/>
      <c r="E41" s="33"/>
      <c r="F41" s="33"/>
      <c r="G41" s="33"/>
      <c r="H41" s="33"/>
      <c r="I41" s="24" t="s">
        <v>64</v>
      </c>
      <c r="J41" s="42" t="s">
        <v>65</v>
      </c>
      <c r="K41" s="33"/>
      <c r="L41" s="42" t="s">
        <v>66</v>
      </c>
      <c r="M41" s="33"/>
      <c r="N41" s="33"/>
    </row>
    <row r="42" spans="1:18" x14ac:dyDescent="0.3">
      <c r="A42" s="45" t="s">
        <v>67</v>
      </c>
      <c r="B42" s="33"/>
      <c r="C42" s="33"/>
      <c r="D42" s="33"/>
      <c r="E42" s="33"/>
      <c r="F42" s="33"/>
      <c r="G42" s="33"/>
      <c r="H42" s="33"/>
      <c r="I42" s="13">
        <f>ROUND(L39/60,2)</f>
        <v>5.97</v>
      </c>
      <c r="J42" s="37">
        <f>1+RateDay</f>
        <v>1.35</v>
      </c>
      <c r="K42" s="33"/>
      <c r="L42" s="38">
        <f>ROUND(L39/60*HourlyWage*(1+RateDay),2)</f>
        <v>402.75</v>
      </c>
      <c r="M42" s="33"/>
      <c r="N42" s="33"/>
    </row>
    <row r="43" spans="1:18" x14ac:dyDescent="0.3">
      <c r="A43" s="45" t="s">
        <v>68</v>
      </c>
      <c r="B43" s="33"/>
      <c r="C43" s="33"/>
      <c r="D43" s="33"/>
      <c r="E43" s="33"/>
      <c r="F43" s="33"/>
      <c r="G43" s="33"/>
      <c r="H43" s="33"/>
      <c r="I43" s="13">
        <f>ROUND(M39/60,2)</f>
        <v>6.12</v>
      </c>
      <c r="J43" s="37">
        <f>1+RateNight</f>
        <v>1.7</v>
      </c>
      <c r="K43" s="33"/>
      <c r="L43" s="38">
        <f>ROUND(M39/60*HourlyWage*(1+RateNight),2)</f>
        <v>519.91999999999996</v>
      </c>
      <c r="M43" s="33"/>
      <c r="N43" s="33"/>
    </row>
    <row r="44" spans="1:18" x14ac:dyDescent="0.3">
      <c r="A44" s="45" t="s">
        <v>69</v>
      </c>
      <c r="B44" s="33"/>
      <c r="C44" s="33"/>
      <c r="D44" s="33"/>
      <c r="E44" s="33"/>
      <c r="F44" s="33"/>
      <c r="G44" s="33"/>
      <c r="H44" s="33"/>
      <c r="I44" s="13">
        <f>ROUND(N39/60,2)</f>
        <v>5</v>
      </c>
      <c r="J44" s="37">
        <f>RateRest</f>
        <v>2</v>
      </c>
      <c r="K44" s="33"/>
      <c r="L44" s="38">
        <f>ROUND(N39/60*HourlyWage*RateRest,2)</f>
        <v>500</v>
      </c>
      <c r="M44" s="33"/>
      <c r="N44" s="33"/>
    </row>
    <row r="45" spans="1:18" x14ac:dyDescent="0.3">
      <c r="A45" s="40" t="s">
        <v>70</v>
      </c>
      <c r="B45" s="33"/>
      <c r="C45" s="33"/>
      <c r="D45" s="33"/>
      <c r="E45" s="33"/>
      <c r="F45" s="33"/>
      <c r="G45" s="33"/>
      <c r="H45" s="33"/>
      <c r="I45" s="28"/>
      <c r="J45" s="44"/>
      <c r="K45" s="33"/>
      <c r="L45" s="39">
        <f>SUM(L42:L44)</f>
        <v>1422.67</v>
      </c>
      <c r="M45" s="33"/>
      <c r="N45" s="33"/>
    </row>
    <row r="47" spans="1:18" x14ac:dyDescent="0.3">
      <c r="A47" s="43" t="s">
        <v>71</v>
      </c>
      <c r="B47" s="33"/>
      <c r="C47" s="33"/>
      <c r="D47" s="33"/>
      <c r="E47" s="33"/>
      <c r="F47" s="33"/>
      <c r="G47" s="33"/>
      <c r="H47" s="33"/>
      <c r="I47" s="33"/>
      <c r="J47" s="33"/>
      <c r="K47" s="33"/>
      <c r="L47" s="33"/>
      <c r="M47" s="33"/>
      <c r="N47" s="33"/>
      <c r="O47" s="33"/>
    </row>
    <row r="48" spans="1:18" x14ac:dyDescent="0.3">
      <c r="A48" s="46" t="s">
        <v>72</v>
      </c>
      <c r="B48" s="33"/>
      <c r="C48" s="33"/>
      <c r="D48" s="33"/>
      <c r="E48" s="33"/>
      <c r="F48" s="33"/>
      <c r="G48" s="33"/>
      <c r="H48" s="33"/>
      <c r="I48" s="33"/>
      <c r="J48" s="33"/>
      <c r="K48" s="33"/>
      <c r="L48" s="33"/>
      <c r="M48" s="33"/>
      <c r="N48" s="33"/>
      <c r="O48" s="33"/>
    </row>
  </sheetData>
  <sheetProtection sheet="1" formatColumns="0" formatRows="0"/>
  <mergeCells count="22">
    <mergeCell ref="A48:O48"/>
    <mergeCell ref="J43:K43"/>
    <mergeCell ref="A43:H43"/>
    <mergeCell ref="J42:K42"/>
    <mergeCell ref="A1:O1"/>
    <mergeCell ref="A44:H44"/>
    <mergeCell ref="L43:N43"/>
    <mergeCell ref="A2:O2"/>
    <mergeCell ref="L41:N41"/>
    <mergeCell ref="L44:N44"/>
    <mergeCell ref="A47:O47"/>
    <mergeCell ref="A41:H41"/>
    <mergeCell ref="J45:K45"/>
    <mergeCell ref="A4:O4"/>
    <mergeCell ref="A42:H42"/>
    <mergeCell ref="J41:K41"/>
    <mergeCell ref="A39:I39"/>
    <mergeCell ref="J44:K44"/>
    <mergeCell ref="L42:N42"/>
    <mergeCell ref="L45:N45"/>
    <mergeCell ref="A45:H45"/>
    <mergeCell ref="A3:O3"/>
  </mergeCells>
  <conditionalFormatting sqref="A7:O37">
    <cfRule type="expression" dxfId="1" priority="1">
      <formula>$F7="راحة"</formula>
    </cfRule>
  </conditionalFormatting>
  <conditionalFormatting sqref="O7:O37">
    <cfRule type="expression" dxfId="0" priority="2">
      <formula>OR($O7="غياب",$O7="بصمة ناقصة")</formula>
    </cfRule>
  </conditionalFormatting>
  <dataValidations count="2">
    <dataValidation type="list" allowBlank="1" sqref="E7:E37" xr:uid="{00000000-0002-0000-0100-000000000000}">
      <formula1>"نعم"</formula1>
    </dataValidation>
    <dataValidation type="time" allowBlank="1" errorTitle="وقت مش مفهوم" error="اكتب الوقت كده: 09:05 أو 17:30" sqref="C7:D37" xr:uid="{00000000-0002-0000-0100-000001000000}">
      <formula1>0</formula1>
      <formula2>0.999988</formula2>
    </dataValidation>
  </dataValidations>
  <hyperlinks>
    <hyperlink ref="A48" r:id="rId1" xr:uid="{00000000-0004-0000-0100-000000000000}"/>
  </hyperlinks>
  <pageMargins left="0.75" right="0.75" top="1" bottom="1" header="0.5" footer="0.5"/>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6"/>
  <sheetViews>
    <sheetView rightToLeft="1" workbookViewId="0"/>
  </sheetViews>
  <sheetFormatPr defaultRowHeight="14.4" x14ac:dyDescent="0.3"/>
  <cols>
    <col min="1" max="1" width="22" customWidth="1"/>
    <col min="2" max="3" width="12" customWidth="1"/>
  </cols>
  <sheetData>
    <row r="1" spans="1:3" x14ac:dyDescent="0.3">
      <c r="A1" s="24" t="s">
        <v>8</v>
      </c>
      <c r="B1" s="24" t="s">
        <v>73</v>
      </c>
      <c r="C1" s="24" t="s">
        <v>74</v>
      </c>
    </row>
    <row r="2" spans="1:3" x14ac:dyDescent="0.3">
      <c r="A2" s="27" t="s">
        <v>9</v>
      </c>
      <c r="B2" s="12">
        <v>30.0444</v>
      </c>
      <c r="C2" s="12">
        <v>31.235700000000001</v>
      </c>
    </row>
    <row r="3" spans="1:3" x14ac:dyDescent="0.3">
      <c r="A3" s="27" t="s">
        <v>75</v>
      </c>
      <c r="B3" s="12">
        <v>30.013100000000001</v>
      </c>
      <c r="C3" s="12">
        <v>31.2089</v>
      </c>
    </row>
    <row r="4" spans="1:3" x14ac:dyDescent="0.3">
      <c r="A4" s="27" t="s">
        <v>76</v>
      </c>
      <c r="B4" s="12">
        <v>29.938099999999999</v>
      </c>
      <c r="C4" s="12">
        <v>30.913599999999999</v>
      </c>
    </row>
    <row r="5" spans="1:3" x14ac:dyDescent="0.3">
      <c r="A5" s="27" t="s">
        <v>77</v>
      </c>
      <c r="B5" s="12">
        <v>30.228300000000001</v>
      </c>
      <c r="C5" s="12">
        <v>31.48</v>
      </c>
    </row>
    <row r="6" spans="1:3" x14ac:dyDescent="0.3">
      <c r="A6" s="27" t="s">
        <v>78</v>
      </c>
      <c r="B6" s="12">
        <v>30.296500000000002</v>
      </c>
      <c r="C6" s="12">
        <v>31.7425</v>
      </c>
    </row>
    <row r="7" spans="1:3" x14ac:dyDescent="0.3">
      <c r="A7" s="27" t="s">
        <v>79</v>
      </c>
      <c r="B7" s="12">
        <v>30.135999999999999</v>
      </c>
      <c r="C7" s="12">
        <v>31.713999999999999</v>
      </c>
    </row>
    <row r="8" spans="1:3" x14ac:dyDescent="0.3">
      <c r="A8" s="27" t="s">
        <v>80</v>
      </c>
      <c r="B8" s="12">
        <v>30.371300000000002</v>
      </c>
      <c r="C8" s="12">
        <v>30.5121</v>
      </c>
    </row>
    <row r="9" spans="1:3" x14ac:dyDescent="0.3">
      <c r="A9" s="27" t="s">
        <v>81</v>
      </c>
      <c r="B9" s="12">
        <v>30.466000000000001</v>
      </c>
      <c r="C9" s="12">
        <v>31.184799999999999</v>
      </c>
    </row>
    <row r="10" spans="1:3" x14ac:dyDescent="0.3">
      <c r="A10" s="27" t="s">
        <v>82</v>
      </c>
      <c r="B10" s="12">
        <v>30.558499999999999</v>
      </c>
      <c r="C10" s="12">
        <v>31.010100000000001</v>
      </c>
    </row>
    <row r="11" spans="1:3" x14ac:dyDescent="0.3">
      <c r="A11" s="27" t="s">
        <v>83</v>
      </c>
      <c r="B11" s="12">
        <v>31.200099999999999</v>
      </c>
      <c r="C11" s="12">
        <v>29.918700000000001</v>
      </c>
    </row>
    <row r="12" spans="1:3" x14ac:dyDescent="0.3">
      <c r="A12" s="27" t="s">
        <v>84</v>
      </c>
      <c r="B12" s="12">
        <v>30.88</v>
      </c>
      <c r="C12" s="12">
        <v>29.58</v>
      </c>
    </row>
    <row r="13" spans="1:3" x14ac:dyDescent="0.3">
      <c r="A13" s="27" t="s">
        <v>85</v>
      </c>
      <c r="B13" s="12">
        <v>31.034099999999999</v>
      </c>
      <c r="C13" s="12">
        <v>30.4682</v>
      </c>
    </row>
    <row r="14" spans="1:3" x14ac:dyDescent="0.3">
      <c r="A14" s="27" t="s">
        <v>86</v>
      </c>
      <c r="B14" s="12">
        <v>30.7865</v>
      </c>
      <c r="C14" s="12">
        <v>31.000399999999999</v>
      </c>
    </row>
    <row r="15" spans="1:3" x14ac:dyDescent="0.3">
      <c r="A15" s="27" t="s">
        <v>87</v>
      </c>
      <c r="B15" s="12">
        <v>30.97</v>
      </c>
      <c r="C15" s="12">
        <v>31.166899999999998</v>
      </c>
    </row>
    <row r="16" spans="1:3" x14ac:dyDescent="0.3">
      <c r="A16" s="27" t="s">
        <v>88</v>
      </c>
      <c r="B16" s="12">
        <v>31.110700000000001</v>
      </c>
      <c r="C16" s="12">
        <v>30.938800000000001</v>
      </c>
    </row>
    <row r="17" spans="1:3" x14ac:dyDescent="0.3">
      <c r="A17" s="27" t="s">
        <v>89</v>
      </c>
      <c r="B17" s="12">
        <v>31.040900000000001</v>
      </c>
      <c r="C17" s="12">
        <v>31.378499999999999</v>
      </c>
    </row>
    <row r="18" spans="1:3" x14ac:dyDescent="0.3">
      <c r="A18" s="27" t="s">
        <v>90</v>
      </c>
      <c r="B18" s="12">
        <v>31.4175</v>
      </c>
      <c r="C18" s="12">
        <v>31.814399999999999</v>
      </c>
    </row>
    <row r="19" spans="1:3" x14ac:dyDescent="0.3">
      <c r="A19" s="27" t="s">
        <v>91</v>
      </c>
      <c r="B19" s="12">
        <v>30.587700000000002</v>
      </c>
      <c r="C19" s="12">
        <v>31.501999999999999</v>
      </c>
    </row>
    <row r="20" spans="1:3" x14ac:dyDescent="0.3">
      <c r="A20" s="27" t="s">
        <v>92</v>
      </c>
      <c r="B20" s="12">
        <v>30.596499999999999</v>
      </c>
      <c r="C20" s="12">
        <v>32.271500000000003</v>
      </c>
    </row>
    <row r="21" spans="1:3" x14ac:dyDescent="0.3">
      <c r="A21" s="27" t="s">
        <v>93</v>
      </c>
      <c r="B21" s="12">
        <v>31.2653</v>
      </c>
      <c r="C21" s="12">
        <v>32.301900000000003</v>
      </c>
    </row>
    <row r="22" spans="1:3" x14ac:dyDescent="0.3">
      <c r="A22" s="27" t="s">
        <v>94</v>
      </c>
      <c r="B22" s="12">
        <v>29.966799999999999</v>
      </c>
      <c r="C22" s="12">
        <v>32.549799999999998</v>
      </c>
    </row>
    <row r="23" spans="1:3" x14ac:dyDescent="0.3">
      <c r="A23" s="27" t="s">
        <v>95</v>
      </c>
      <c r="B23" s="12">
        <v>29.6</v>
      </c>
      <c r="C23" s="12">
        <v>32.32</v>
      </c>
    </row>
    <row r="24" spans="1:3" x14ac:dyDescent="0.3">
      <c r="A24" s="27" t="s">
        <v>96</v>
      </c>
      <c r="B24" s="12">
        <v>29.308399999999999</v>
      </c>
      <c r="C24" s="12">
        <v>30.8428</v>
      </c>
    </row>
    <row r="25" spans="1:3" x14ac:dyDescent="0.3">
      <c r="A25" s="27" t="s">
        <v>97</v>
      </c>
      <c r="B25" s="12">
        <v>29.066099999999999</v>
      </c>
      <c r="C25" s="12">
        <v>31.099399999999999</v>
      </c>
    </row>
    <row r="26" spans="1:3" x14ac:dyDescent="0.3">
      <c r="A26" s="27" t="s">
        <v>98</v>
      </c>
      <c r="B26" s="12">
        <v>28.1099</v>
      </c>
      <c r="C26" s="12">
        <v>30.750299999999999</v>
      </c>
    </row>
    <row r="27" spans="1:3" x14ac:dyDescent="0.3">
      <c r="A27" s="27" t="s">
        <v>99</v>
      </c>
      <c r="B27" s="12">
        <v>27.180900000000001</v>
      </c>
      <c r="C27" s="12">
        <v>31.183700000000002</v>
      </c>
    </row>
    <row r="28" spans="1:3" x14ac:dyDescent="0.3">
      <c r="A28" s="27" t="s">
        <v>100</v>
      </c>
      <c r="B28" s="12">
        <v>26.559100000000001</v>
      </c>
      <c r="C28" s="12">
        <v>31.695699999999999</v>
      </c>
    </row>
    <row r="29" spans="1:3" x14ac:dyDescent="0.3">
      <c r="A29" s="27" t="s">
        <v>101</v>
      </c>
      <c r="B29" s="12">
        <v>26.155100000000001</v>
      </c>
      <c r="C29" s="12">
        <v>32.716000000000001</v>
      </c>
    </row>
    <row r="30" spans="1:3" x14ac:dyDescent="0.3">
      <c r="A30" s="27" t="s">
        <v>102</v>
      </c>
      <c r="B30" s="12">
        <v>25.687200000000001</v>
      </c>
      <c r="C30" s="12">
        <v>32.639600000000002</v>
      </c>
    </row>
    <row r="31" spans="1:3" x14ac:dyDescent="0.3">
      <c r="A31" s="27" t="s">
        <v>103</v>
      </c>
      <c r="B31" s="12">
        <v>24.088899999999999</v>
      </c>
      <c r="C31" s="12">
        <v>32.899799999999999</v>
      </c>
    </row>
    <row r="32" spans="1:3" x14ac:dyDescent="0.3">
      <c r="A32" s="27" t="s">
        <v>104</v>
      </c>
      <c r="B32" s="12">
        <v>27.257899999999999</v>
      </c>
      <c r="C32" s="12">
        <v>33.811599999999999</v>
      </c>
    </row>
    <row r="33" spans="1:3" x14ac:dyDescent="0.3">
      <c r="A33" s="27" t="s">
        <v>105</v>
      </c>
      <c r="B33" s="12">
        <v>27.915800000000001</v>
      </c>
      <c r="C33" s="12">
        <v>34.33</v>
      </c>
    </row>
    <row r="34" spans="1:3" x14ac:dyDescent="0.3">
      <c r="A34" s="27" t="s">
        <v>106</v>
      </c>
      <c r="B34" s="12">
        <v>31.354299999999999</v>
      </c>
      <c r="C34" s="12">
        <v>27.237300000000001</v>
      </c>
    </row>
    <row r="35" spans="1:3" x14ac:dyDescent="0.3">
      <c r="A35" s="27" t="s">
        <v>107</v>
      </c>
      <c r="B35" s="12">
        <v>31.131599999999999</v>
      </c>
      <c r="C35" s="12">
        <v>33.798400000000001</v>
      </c>
    </row>
    <row r="36" spans="1:3" x14ac:dyDescent="0.3">
      <c r="A36" s="27" t="s">
        <v>108</v>
      </c>
      <c r="B36" s="12">
        <f>CustomLat</f>
        <v>0</v>
      </c>
      <c r="C36" s="12">
        <f>CustomLng</f>
        <v>0</v>
      </c>
    </row>
  </sheetData>
  <sheetProtection sheet="1" formatColumns="0" formatRows="0"/>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3"/>
  <sheetViews>
    <sheetView rightToLeft="1" workbookViewId="0"/>
  </sheetViews>
  <sheetFormatPr defaultRowHeight="14.4" x14ac:dyDescent="0.3"/>
  <cols>
    <col min="1" max="1" width="11" customWidth="1"/>
    <col min="2" max="2" width="12.44140625" customWidth="1"/>
    <col min="3" max="3" width="11" customWidth="1"/>
    <col min="4" max="4" width="14" customWidth="1"/>
    <col min="5" max="19" width="11" customWidth="1"/>
  </cols>
  <sheetData>
    <row r="1" spans="1:19" x14ac:dyDescent="0.3">
      <c r="A1" s="48" t="s">
        <v>109</v>
      </c>
      <c r="B1" s="33"/>
      <c r="C1" s="33"/>
      <c r="D1" s="33"/>
      <c r="E1" s="33"/>
      <c r="F1" s="33"/>
      <c r="G1" s="33"/>
      <c r="H1" s="33"/>
      <c r="I1" s="33"/>
      <c r="J1" s="33"/>
      <c r="K1" s="33"/>
      <c r="L1" s="33"/>
      <c r="M1" s="33"/>
      <c r="N1" s="33"/>
      <c r="O1" s="33"/>
      <c r="P1" s="33"/>
      <c r="Q1" s="33"/>
      <c r="R1" s="33"/>
      <c r="S1" s="33"/>
    </row>
    <row r="2" spans="1:19" ht="22.8" x14ac:dyDescent="0.3">
      <c r="A2" s="14" t="s">
        <v>46</v>
      </c>
      <c r="B2" s="14" t="s">
        <v>45</v>
      </c>
      <c r="C2" s="14" t="s">
        <v>110</v>
      </c>
      <c r="D2" s="14" t="s">
        <v>111</v>
      </c>
      <c r="E2" s="14" t="s">
        <v>112</v>
      </c>
      <c r="F2" s="14" t="s">
        <v>113</v>
      </c>
      <c r="G2" s="14" t="s">
        <v>114</v>
      </c>
      <c r="H2" s="14" t="s">
        <v>115</v>
      </c>
      <c r="I2" s="14" t="s">
        <v>116</v>
      </c>
      <c r="J2" s="14" t="s">
        <v>117</v>
      </c>
      <c r="K2" s="14" t="s">
        <v>118</v>
      </c>
      <c r="L2" s="14" t="s">
        <v>119</v>
      </c>
      <c r="M2" s="14" t="s">
        <v>120</v>
      </c>
      <c r="N2" s="14" t="s">
        <v>121</v>
      </c>
      <c r="O2" s="14" t="s">
        <v>122</v>
      </c>
      <c r="P2" s="14" t="s">
        <v>123</v>
      </c>
      <c r="Q2" s="14" t="s">
        <v>124</v>
      </c>
      <c r="R2" s="14" t="s">
        <v>125</v>
      </c>
      <c r="S2" s="14" t="s">
        <v>126</v>
      </c>
    </row>
    <row r="3" spans="1:19" x14ac:dyDescent="0.3">
      <c r="A3" s="29">
        <v>1</v>
      </c>
      <c r="B3" s="30">
        <f t="shared" ref="B3:B33" si="0">MonthStart+A3-1</f>
        <v>46296</v>
      </c>
      <c r="C3" s="29">
        <f t="shared" ref="C3:C33" si="1">IF(AND(YEAR(B3)&gt;=2023,B3&gt;=DATE(YEAR(B3),5,0)-MOD(WEEKDAY(DATE(YEAR(B3),5,0),2)-5,7),B3&lt;=DATE(YEAR(B3),11,0)-MOD(WEEKDAY(DATE(YEAR(B3),11,0),2)-4,7)),3,2)</f>
        <v>3</v>
      </c>
      <c r="D3" s="31">
        <f t="shared" ref="D3:D33" si="2">B3+2415018.5+(12-C3)/24</f>
        <v>2461314.875</v>
      </c>
      <c r="E3" s="31">
        <f t="shared" ref="E3:E33" si="3">(D3-2451545)/36525</f>
        <v>0.26748459958932236</v>
      </c>
      <c r="F3" s="31">
        <f t="shared" ref="F3:F33" si="4">MOD(280.46646+E3*(36000.76983+E3*0.0003032),360)</f>
        <v>190.11798457826262</v>
      </c>
      <c r="G3" s="31">
        <f t="shared" ref="G3:G33" si="5">357.52911+E3*(35999.05029-0.0001537*E3)</f>
        <v>9986.7206514195987</v>
      </c>
      <c r="H3" s="31">
        <f t="shared" ref="H3:H33" si="6">0.016708634-E3*(0.000042037+0.0000001267*E3)</f>
        <v>1.6697380684754067E-2</v>
      </c>
      <c r="I3" s="31">
        <f t="shared" ref="I3:I33" si="7">SIN(RADIANS(G3))*(1.914602-E3*(0.004817+0.000014*E3))+SIN(RADIANS(2*G3))*(0.019993-0.000101*E3)+SIN(RADIANS(3*G3))*0.000289</f>
        <v>-1.9076141901323074</v>
      </c>
      <c r="J3" s="31">
        <f t="shared" ref="J3:J33" si="8">125.04-1934.136*E3</f>
        <v>-392.31159351129355</v>
      </c>
      <c r="K3" s="31">
        <f t="shared" ref="K3:K33" si="9">F3+I3-0.00569-0.00478*SIN(RADIANS(J3))</f>
        <v>188.20723540985281</v>
      </c>
      <c r="L3" s="31">
        <f t="shared" ref="L3:L33" si="10">23+(26+(21.448-E3*(46.815+E3*(0.00059-E3*0.001813)))/60)/60</f>
        <v>23.435812694709465</v>
      </c>
      <c r="M3" s="31">
        <f t="shared" ref="M3:M33" si="11">L3+0.00256*COS(RADIANS(J3))</f>
        <v>23.437976288162066</v>
      </c>
      <c r="N3" s="31">
        <f t="shared" ref="N3:N33" si="12">DEGREES(ASIN(SIN(RADIANS(M3))*SIN(RADIANS(K3))))</f>
        <v>-3.2550763557977205</v>
      </c>
      <c r="O3" s="31">
        <f t="shared" ref="O3:O33" si="13">TAN(RADIANS(M3/2))^2</f>
        <v>4.3029564055413735E-2</v>
      </c>
      <c r="P3" s="31">
        <f t="shared" ref="P3:P33" si="14">4*DEGREES(O3*SIN(2*RADIANS(F3))-2*H3*SIN(RADIANS(G3))+4*H3*O3*SIN(RADIANS(G3))*COS(2*RADIANS(F3))-0.5*O3*O3*SIN(4*RADIANS(F3))-1.25*H3*H3*SIN(2*RADIANS(G3)))</f>
        <v>10.28817601453744</v>
      </c>
      <c r="Q3" s="31">
        <f t="shared" ref="Q3:Q33" si="15">DEGREES(ACOS(COS(RADIANS(90.833))/(COS(RADIANS(Lat))*COS(RADIANS(N3)))-TAN(RADIANS(Lat))*TAN(RADIANS(N3))))</f>
        <v>89.079065701800587</v>
      </c>
      <c r="R3" s="29">
        <f t="shared" ref="R3:R33" si="16">ROUND(720-4*Lng-P3+C3*60-Q3*4,0)</f>
        <v>408</v>
      </c>
      <c r="S3" s="29">
        <f t="shared" ref="S3:S33" si="17">ROUND(720-4*Lng-P3+C3*60+Q3*4,0)</f>
        <v>1121</v>
      </c>
    </row>
    <row r="4" spans="1:19" x14ac:dyDescent="0.3">
      <c r="A4" s="29">
        <v>2</v>
      </c>
      <c r="B4" s="30">
        <f t="shared" si="0"/>
        <v>46297</v>
      </c>
      <c r="C4" s="29">
        <f t="shared" si="1"/>
        <v>3</v>
      </c>
      <c r="D4" s="31">
        <f t="shared" si="2"/>
        <v>2461315.875</v>
      </c>
      <c r="E4" s="31">
        <f t="shared" si="3"/>
        <v>0.26751197809719368</v>
      </c>
      <c r="F4" s="31">
        <f t="shared" si="4"/>
        <v>191.10363194286765</v>
      </c>
      <c r="G4" s="31">
        <f t="shared" si="5"/>
        <v>9987.7062516990736</v>
      </c>
      <c r="H4" s="31">
        <f t="shared" si="6"/>
        <v>1.6697379531987907E-2</v>
      </c>
      <c r="I4" s="31">
        <f t="shared" si="7"/>
        <v>-1.9098955605610279</v>
      </c>
      <c r="J4" s="31">
        <f t="shared" si="8"/>
        <v>-392.36454726899382</v>
      </c>
      <c r="K4" s="31">
        <f t="shared" si="9"/>
        <v>189.19060513662293</v>
      </c>
      <c r="L4" s="31">
        <f t="shared" si="10"/>
        <v>23.435812338675344</v>
      </c>
      <c r="M4" s="31">
        <f t="shared" si="11"/>
        <v>23.437974666523594</v>
      </c>
      <c r="N4" s="31">
        <f t="shared" si="12"/>
        <v>-3.6424154836234917</v>
      </c>
      <c r="O4" s="31">
        <f t="shared" si="13"/>
        <v>4.3029557931747925E-2</v>
      </c>
      <c r="P4" s="31">
        <f t="shared" si="14"/>
        <v>10.610489314865879</v>
      </c>
      <c r="Q4" s="31">
        <f t="shared" si="15"/>
        <v>88.854576560646336</v>
      </c>
      <c r="R4" s="29">
        <f t="shared" si="16"/>
        <v>409</v>
      </c>
      <c r="S4" s="29">
        <f t="shared" si="17"/>
        <v>1120</v>
      </c>
    </row>
    <row r="5" spans="1:19" x14ac:dyDescent="0.3">
      <c r="A5" s="29">
        <v>3</v>
      </c>
      <c r="B5" s="30">
        <f t="shared" si="0"/>
        <v>46298</v>
      </c>
      <c r="C5" s="29">
        <f t="shared" si="1"/>
        <v>3</v>
      </c>
      <c r="D5" s="31">
        <f t="shared" si="2"/>
        <v>2461316.875</v>
      </c>
      <c r="E5" s="31">
        <f t="shared" si="3"/>
        <v>0.267539356605065</v>
      </c>
      <c r="F5" s="31">
        <f t="shared" si="4"/>
        <v>192.0892793074745</v>
      </c>
      <c r="G5" s="31">
        <f t="shared" si="5"/>
        <v>9988.6918519785449</v>
      </c>
      <c r="H5" s="31">
        <f t="shared" si="6"/>
        <v>1.6697378379221552E-2</v>
      </c>
      <c r="I5" s="31">
        <f t="shared" si="7"/>
        <v>-1.9116138880953946</v>
      </c>
      <c r="J5" s="31">
        <f t="shared" si="8"/>
        <v>-392.41750102669397</v>
      </c>
      <c r="K5" s="31">
        <f t="shared" si="9"/>
        <v>190.17453790410363</v>
      </c>
      <c r="L5" s="31">
        <f t="shared" si="10"/>
        <v>23.435811982641226</v>
      </c>
      <c r="M5" s="31">
        <f t="shared" si="11"/>
        <v>23.437973043038113</v>
      </c>
      <c r="N5" s="31">
        <f t="shared" si="12"/>
        <v>-4.0290674499844812</v>
      </c>
      <c r="O5" s="31">
        <f t="shared" si="13"/>
        <v>4.3029551801107888E-2</v>
      </c>
      <c r="P5" s="31">
        <f t="shared" si="14"/>
        <v>10.92775147724549</v>
      </c>
      <c r="Q5" s="31">
        <f t="shared" si="15"/>
        <v>88.630319317855324</v>
      </c>
      <c r="R5" s="29">
        <f t="shared" si="16"/>
        <v>410</v>
      </c>
      <c r="S5" s="29">
        <f t="shared" si="17"/>
        <v>1119</v>
      </c>
    </row>
    <row r="6" spans="1:19" x14ac:dyDescent="0.3">
      <c r="A6" s="29">
        <v>4</v>
      </c>
      <c r="B6" s="30">
        <f t="shared" si="0"/>
        <v>46299</v>
      </c>
      <c r="C6" s="29">
        <f t="shared" si="1"/>
        <v>3</v>
      </c>
      <c r="D6" s="31">
        <f t="shared" si="2"/>
        <v>2461317.875</v>
      </c>
      <c r="E6" s="31">
        <f t="shared" si="3"/>
        <v>0.26756673511293633</v>
      </c>
      <c r="F6" s="31">
        <f t="shared" si="4"/>
        <v>193.07492667208135</v>
      </c>
      <c r="G6" s="31">
        <f t="shared" si="5"/>
        <v>9989.6774522580181</v>
      </c>
      <c r="H6" s="31">
        <f t="shared" si="6"/>
        <v>1.669737722645501E-2</v>
      </c>
      <c r="I6" s="31">
        <f t="shared" si="7"/>
        <v>-1.9127680592071536</v>
      </c>
      <c r="J6" s="31">
        <f t="shared" si="8"/>
        <v>-392.47045478439424</v>
      </c>
      <c r="K6" s="31">
        <f t="shared" si="9"/>
        <v>191.15903482581805</v>
      </c>
      <c r="L6" s="31">
        <f t="shared" si="10"/>
        <v>23.435811626607105</v>
      </c>
      <c r="M6" s="31">
        <f t="shared" si="11"/>
        <v>23.437971417706699</v>
      </c>
      <c r="N6" s="31">
        <f t="shared" si="12"/>
        <v>-4.4149333255839691</v>
      </c>
      <c r="O6" s="31">
        <f t="shared" si="13"/>
        <v>4.3029545663497662E-2</v>
      </c>
      <c r="P6" s="31">
        <f t="shared" si="14"/>
        <v>11.239619350816843</v>
      </c>
      <c r="Q6" s="31">
        <f t="shared" si="15"/>
        <v>88.406328253685857</v>
      </c>
      <c r="R6" s="29">
        <f t="shared" si="16"/>
        <v>410</v>
      </c>
      <c r="S6" s="29">
        <f t="shared" si="17"/>
        <v>1117</v>
      </c>
    </row>
    <row r="7" spans="1:19" x14ac:dyDescent="0.3">
      <c r="A7" s="29">
        <v>5</v>
      </c>
      <c r="B7" s="30">
        <f t="shared" si="0"/>
        <v>46300</v>
      </c>
      <c r="C7" s="29">
        <f t="shared" si="1"/>
        <v>3</v>
      </c>
      <c r="D7" s="31">
        <f t="shared" si="2"/>
        <v>2461318.875</v>
      </c>
      <c r="E7" s="31">
        <f t="shared" si="3"/>
        <v>0.26759411362080765</v>
      </c>
      <c r="F7" s="31">
        <f t="shared" si="4"/>
        <v>194.06057403668819</v>
      </c>
      <c r="G7" s="31">
        <f t="shared" si="5"/>
        <v>9990.6630525374931</v>
      </c>
      <c r="H7" s="31">
        <f t="shared" si="6"/>
        <v>1.6697376073688281E-2</v>
      </c>
      <c r="I7" s="31">
        <f t="shared" si="7"/>
        <v>-1.9133571245283498</v>
      </c>
      <c r="J7" s="31">
        <f t="shared" si="8"/>
        <v>-392.52340854209439</v>
      </c>
      <c r="K7" s="31">
        <f t="shared" si="9"/>
        <v>192.14409685113111</v>
      </c>
      <c r="L7" s="31">
        <f t="shared" si="10"/>
        <v>23.435811270572987</v>
      </c>
      <c r="M7" s="31">
        <f t="shared" si="11"/>
        <v>23.437969790530442</v>
      </c>
      <c r="N7" s="31">
        <f t="shared" si="12"/>
        <v>-4.7999136612558555</v>
      </c>
      <c r="O7" s="31">
        <f t="shared" si="13"/>
        <v>4.302953951892137E-2</v>
      </c>
      <c r="P7" s="31">
        <f t="shared" si="14"/>
        <v>11.545750378982611</v>
      </c>
      <c r="Q7" s="31">
        <f t="shared" si="15"/>
        <v>88.18263834301267</v>
      </c>
      <c r="R7" s="29">
        <f t="shared" si="16"/>
        <v>411</v>
      </c>
      <c r="S7" s="29">
        <f t="shared" si="17"/>
        <v>1116</v>
      </c>
    </row>
    <row r="8" spans="1:19" x14ac:dyDescent="0.3">
      <c r="A8" s="29">
        <v>6</v>
      </c>
      <c r="B8" s="30">
        <f t="shared" si="0"/>
        <v>46301</v>
      </c>
      <c r="C8" s="29">
        <f t="shared" si="1"/>
        <v>3</v>
      </c>
      <c r="D8" s="31">
        <f t="shared" si="2"/>
        <v>2461319.875</v>
      </c>
      <c r="E8" s="31">
        <f t="shared" si="3"/>
        <v>0.26762149212867897</v>
      </c>
      <c r="F8" s="31">
        <f t="shared" si="4"/>
        <v>195.04622140129504</v>
      </c>
      <c r="G8" s="31">
        <f t="shared" si="5"/>
        <v>9991.6486528169644</v>
      </c>
      <c r="H8" s="31">
        <f t="shared" si="6"/>
        <v>1.6697374920921357E-2</v>
      </c>
      <c r="I8" s="31">
        <f t="shared" si="7"/>
        <v>-1.9133802998494853</v>
      </c>
      <c r="J8" s="31">
        <f t="shared" si="8"/>
        <v>-392.57636229979465</v>
      </c>
      <c r="K8" s="31">
        <f t="shared" si="9"/>
        <v>193.129724764249</v>
      </c>
      <c r="L8" s="31">
        <f t="shared" si="10"/>
        <v>23.43581091453887</v>
      </c>
      <c r="M8" s="31">
        <f t="shared" si="11"/>
        <v>23.437968161510423</v>
      </c>
      <c r="N8" s="31">
        <f t="shared" si="12"/>
        <v>-5.1839084780024303</v>
      </c>
      <c r="O8" s="31">
        <f t="shared" si="13"/>
        <v>4.3029533367383112E-2</v>
      </c>
      <c r="P8" s="31">
        <f t="shared" si="14"/>
        <v>11.845802874771412</v>
      </c>
      <c r="Q8" s="31">
        <f t="shared" si="15"/>
        <v>87.959285312475828</v>
      </c>
      <c r="R8" s="29">
        <f t="shared" si="16"/>
        <v>411</v>
      </c>
      <c r="S8" s="29">
        <f t="shared" si="17"/>
        <v>1115</v>
      </c>
    </row>
    <row r="9" spans="1:19" x14ac:dyDescent="0.3">
      <c r="A9" s="29">
        <v>7</v>
      </c>
      <c r="B9" s="30">
        <f t="shared" si="0"/>
        <v>46302</v>
      </c>
      <c r="C9" s="29">
        <f t="shared" si="1"/>
        <v>3</v>
      </c>
      <c r="D9" s="31">
        <f t="shared" si="2"/>
        <v>2461320.875</v>
      </c>
      <c r="E9" s="31">
        <f t="shared" si="3"/>
        <v>0.2676488706365503</v>
      </c>
      <c r="F9" s="31">
        <f t="shared" si="4"/>
        <v>196.03186876590189</v>
      </c>
      <c r="G9" s="31">
        <f t="shared" si="5"/>
        <v>9992.6342530964375</v>
      </c>
      <c r="H9" s="31">
        <f t="shared" si="6"/>
        <v>1.6697373768154247E-2</v>
      </c>
      <c r="I9" s="31">
        <f t="shared" si="7"/>
        <v>-1.9128369670739465</v>
      </c>
      <c r="J9" s="31">
        <f t="shared" si="8"/>
        <v>-392.6293160574948</v>
      </c>
      <c r="K9" s="31">
        <f t="shared" si="9"/>
        <v>194.11591918326519</v>
      </c>
      <c r="L9" s="31">
        <f t="shared" si="10"/>
        <v>23.435810558504752</v>
      </c>
      <c r="M9" s="31">
        <f t="shared" si="11"/>
        <v>23.437966530647735</v>
      </c>
      <c r="N9" s="31">
        <f t="shared" si="12"/>
        <v>-5.5668172579762443</v>
      </c>
      <c r="O9" s="31">
        <f t="shared" si="13"/>
        <v>4.3029527208886996E-2</v>
      </c>
      <c r="P9" s="31">
        <f t="shared" si="14"/>
        <v>12.139436312202719</v>
      </c>
      <c r="Q9" s="31">
        <f t="shared" si="15"/>
        <v>87.736305697395338</v>
      </c>
      <c r="R9" s="29">
        <f t="shared" si="16"/>
        <v>412</v>
      </c>
      <c r="S9" s="29">
        <f t="shared" si="17"/>
        <v>1114</v>
      </c>
    </row>
    <row r="10" spans="1:19" x14ac:dyDescent="0.3">
      <c r="A10" s="29">
        <v>8</v>
      </c>
      <c r="B10" s="30">
        <f t="shared" si="0"/>
        <v>46303</v>
      </c>
      <c r="C10" s="29">
        <f t="shared" si="1"/>
        <v>3</v>
      </c>
      <c r="D10" s="31">
        <f t="shared" si="2"/>
        <v>2461321.875</v>
      </c>
      <c r="E10" s="31">
        <f t="shared" si="3"/>
        <v>0.26767624914442162</v>
      </c>
      <c r="F10" s="31">
        <f t="shared" si="4"/>
        <v>197.01751613050874</v>
      </c>
      <c r="G10" s="31">
        <f t="shared" si="5"/>
        <v>9993.6198533759107</v>
      </c>
      <c r="H10" s="31">
        <f t="shared" si="6"/>
        <v>1.6697372615386945E-2</v>
      </c>
      <c r="I10" s="31">
        <f t="shared" si="7"/>
        <v>-1.9117266751275213</v>
      </c>
      <c r="J10" s="31">
        <f t="shared" si="8"/>
        <v>-392.68226981519507</v>
      </c>
      <c r="K10" s="31">
        <f t="shared" si="9"/>
        <v>195.10268055925076</v>
      </c>
      <c r="L10" s="31">
        <f t="shared" si="10"/>
        <v>23.435810202470634</v>
      </c>
      <c r="M10" s="31">
        <f t="shared" si="11"/>
        <v>23.437964897943463</v>
      </c>
      <c r="N10" s="31">
        <f t="shared" si="12"/>
        <v>-5.9485389364862042</v>
      </c>
      <c r="O10" s="31">
        <f t="shared" si="13"/>
        <v>4.3029521043437137E-2</v>
      </c>
      <c r="P10" s="31">
        <f t="shared" si="14"/>
        <v>12.426311633903168</v>
      </c>
      <c r="Q10" s="31">
        <f t="shared" si="15"/>
        <v>87.513736898371619</v>
      </c>
      <c r="R10" s="29">
        <f t="shared" si="16"/>
        <v>413</v>
      </c>
      <c r="S10" s="29">
        <f t="shared" si="17"/>
        <v>1113</v>
      </c>
    </row>
    <row r="11" spans="1:19" x14ac:dyDescent="0.3">
      <c r="A11" s="29">
        <v>9</v>
      </c>
      <c r="B11" s="30">
        <f t="shared" si="0"/>
        <v>46304</v>
      </c>
      <c r="C11" s="29">
        <f t="shared" si="1"/>
        <v>3</v>
      </c>
      <c r="D11" s="31">
        <f t="shared" si="2"/>
        <v>2461322.875</v>
      </c>
      <c r="E11" s="31">
        <f t="shared" si="3"/>
        <v>0.26770362765229294</v>
      </c>
      <c r="F11" s="31">
        <f t="shared" si="4"/>
        <v>198.00316349511922</v>
      </c>
      <c r="G11" s="31">
        <f t="shared" si="5"/>
        <v>9994.6054536553802</v>
      </c>
      <c r="H11" s="31">
        <f t="shared" si="6"/>
        <v>1.6697371462619452E-2</v>
      </c>
      <c r="I11" s="31">
        <f t="shared" si="7"/>
        <v>-1.9100491408219309</v>
      </c>
      <c r="J11" s="31">
        <f t="shared" si="8"/>
        <v>-392.73522357289522</v>
      </c>
      <c r="K11" s="31">
        <f t="shared" si="9"/>
        <v>196.09000917539436</v>
      </c>
      <c r="L11" s="31">
        <f t="shared" si="10"/>
        <v>23.435809846436516</v>
      </c>
      <c r="M11" s="31">
        <f t="shared" si="11"/>
        <v>23.437963263398697</v>
      </c>
      <c r="N11" s="31">
        <f t="shared" si="12"/>
        <v>-6.328971895112141</v>
      </c>
      <c r="O11" s="31">
        <f t="shared" si="13"/>
        <v>4.3029514871037643E-2</v>
      </c>
      <c r="P11" s="31">
        <f t="shared" si="14"/>
        <v>12.706091575133129</v>
      </c>
      <c r="Q11" s="31">
        <f t="shared" si="15"/>
        <v>87.29161723748399</v>
      </c>
      <c r="R11" s="29">
        <f t="shared" si="16"/>
        <v>413</v>
      </c>
      <c r="S11" s="29">
        <f t="shared" si="17"/>
        <v>1112</v>
      </c>
    </row>
    <row r="12" spans="1:19" x14ac:dyDescent="0.3">
      <c r="A12" s="29">
        <v>10</v>
      </c>
      <c r="B12" s="30">
        <f t="shared" si="0"/>
        <v>46305</v>
      </c>
      <c r="C12" s="29">
        <f t="shared" si="1"/>
        <v>3</v>
      </c>
      <c r="D12" s="31">
        <f t="shared" si="2"/>
        <v>2461323.875</v>
      </c>
      <c r="E12" s="31">
        <f t="shared" si="3"/>
        <v>0.26773100616016426</v>
      </c>
      <c r="F12" s="31">
        <f t="shared" si="4"/>
        <v>198.98881085972789</v>
      </c>
      <c r="G12" s="31">
        <f t="shared" si="5"/>
        <v>9995.5910539348533</v>
      </c>
      <c r="H12" s="31">
        <f t="shared" si="6"/>
        <v>1.6697370309851772E-2</v>
      </c>
      <c r="I12" s="31">
        <f t="shared" si="7"/>
        <v>-1.9078042496711476</v>
      </c>
      <c r="J12" s="31">
        <f t="shared" si="8"/>
        <v>-392.78817733059549</v>
      </c>
      <c r="K12" s="31">
        <f t="shared" si="9"/>
        <v>197.07790514617346</v>
      </c>
      <c r="L12" s="31">
        <f t="shared" si="10"/>
        <v>23.435809490402399</v>
      </c>
      <c r="M12" s="31">
        <f t="shared" si="11"/>
        <v>23.437961627014531</v>
      </c>
      <c r="N12" s="31">
        <f t="shared" si="12"/>
        <v>-6.70801395600507</v>
      </c>
      <c r="O12" s="31">
        <f t="shared" si="13"/>
        <v>4.3029508691692663E-2</v>
      </c>
      <c r="P12" s="31">
        <f t="shared" si="14"/>
        <v>12.978441004278181</v>
      </c>
      <c r="Q12" s="31">
        <f t="shared" si="15"/>
        <v>87.069986013995575</v>
      </c>
      <c r="R12" s="29">
        <f t="shared" si="16"/>
        <v>414</v>
      </c>
      <c r="S12" s="29">
        <f t="shared" si="17"/>
        <v>1110</v>
      </c>
    </row>
    <row r="13" spans="1:19" x14ac:dyDescent="0.3">
      <c r="A13" s="29">
        <v>11</v>
      </c>
      <c r="B13" s="30">
        <f t="shared" si="0"/>
        <v>46306</v>
      </c>
      <c r="C13" s="29">
        <f t="shared" si="1"/>
        <v>3</v>
      </c>
      <c r="D13" s="31">
        <f t="shared" si="2"/>
        <v>2461324.875</v>
      </c>
      <c r="E13" s="31">
        <f t="shared" si="3"/>
        <v>0.26775838466803559</v>
      </c>
      <c r="F13" s="31">
        <f t="shared" si="4"/>
        <v>199.97445822433656</v>
      </c>
      <c r="G13" s="31">
        <f t="shared" si="5"/>
        <v>9996.5766542143247</v>
      </c>
      <c r="H13" s="31">
        <f t="shared" si="6"/>
        <v>1.6697369157083902E-2</v>
      </c>
      <c r="I13" s="31">
        <f t="shared" si="7"/>
        <v>-1.9049920566595258</v>
      </c>
      <c r="J13" s="31">
        <f t="shared" si="8"/>
        <v>-392.84113108829564</v>
      </c>
      <c r="K13" s="31">
        <f t="shared" si="9"/>
        <v>198.06636841660233</v>
      </c>
      <c r="L13" s="31">
        <f t="shared" si="10"/>
        <v>23.435809134368281</v>
      </c>
      <c r="M13" s="31">
        <f t="shared" si="11"/>
        <v>23.437959988792056</v>
      </c>
      <c r="N13" s="31">
        <f t="shared" si="12"/>
        <v>-7.0855623774763137</v>
      </c>
      <c r="O13" s="31">
        <f t="shared" si="13"/>
        <v>4.3029502505406297E-2</v>
      </c>
      <c r="P13" s="31">
        <f t="shared" si="14"/>
        <v>13.243027279780792</v>
      </c>
      <c r="Q13" s="31">
        <f t="shared" si="15"/>
        <v>86.848883559451039</v>
      </c>
      <c r="R13" s="29">
        <f t="shared" si="16"/>
        <v>414</v>
      </c>
      <c r="S13" s="29">
        <f t="shared" si="17"/>
        <v>1109</v>
      </c>
    </row>
    <row r="14" spans="1:19" x14ac:dyDescent="0.3">
      <c r="A14" s="29">
        <v>12</v>
      </c>
      <c r="B14" s="30">
        <f t="shared" si="0"/>
        <v>46307</v>
      </c>
      <c r="C14" s="29">
        <f t="shared" si="1"/>
        <v>3</v>
      </c>
      <c r="D14" s="31">
        <f t="shared" si="2"/>
        <v>2461325.875</v>
      </c>
      <c r="E14" s="31">
        <f t="shared" si="3"/>
        <v>0.26778576317590691</v>
      </c>
      <c r="F14" s="31">
        <f t="shared" si="4"/>
        <v>200.96010558894704</v>
      </c>
      <c r="G14" s="31">
        <f t="shared" si="5"/>
        <v>9997.562254493796</v>
      </c>
      <c r="H14" s="31">
        <f t="shared" si="6"/>
        <v>1.669736800431584E-2</v>
      </c>
      <c r="I14" s="31">
        <f t="shared" si="7"/>
        <v>-1.9016127869603985</v>
      </c>
      <c r="J14" s="31">
        <f t="shared" si="8"/>
        <v>-392.89408484599591</v>
      </c>
      <c r="K14" s="31">
        <f t="shared" si="9"/>
        <v>199.0553987615063</v>
      </c>
      <c r="L14" s="31">
        <f t="shared" si="10"/>
        <v>23.435808778334163</v>
      </c>
      <c r="M14" s="31">
        <f t="shared" si="11"/>
        <v>23.437958348732369</v>
      </c>
      <c r="N14" s="31">
        <f t="shared" si="12"/>
        <v>-7.4615138509433505</v>
      </c>
      <c r="O14" s="31">
        <f t="shared" si="13"/>
        <v>4.3029496312182711E-2</v>
      </c>
      <c r="P14" s="31">
        <f t="shared" si="14"/>
        <v>13.499520623356869</v>
      </c>
      <c r="Q14" s="31">
        <f t="shared" si="15"/>
        <v>86.628351292065474</v>
      </c>
      <c r="R14" s="29">
        <f t="shared" si="16"/>
        <v>415</v>
      </c>
      <c r="S14" s="29">
        <f t="shared" si="17"/>
        <v>1108</v>
      </c>
    </row>
    <row r="15" spans="1:19" x14ac:dyDescent="0.3">
      <c r="A15" s="29">
        <v>13</v>
      </c>
      <c r="B15" s="30">
        <f t="shared" si="0"/>
        <v>46308</v>
      </c>
      <c r="C15" s="29">
        <f t="shared" si="1"/>
        <v>3</v>
      </c>
      <c r="D15" s="31">
        <f t="shared" si="2"/>
        <v>2461326.875</v>
      </c>
      <c r="E15" s="31">
        <f t="shared" si="3"/>
        <v>0.26781314168377823</v>
      </c>
      <c r="F15" s="31">
        <f t="shared" si="4"/>
        <v>201.94575295355753</v>
      </c>
      <c r="G15" s="31">
        <f t="shared" si="5"/>
        <v>9998.5478547732673</v>
      </c>
      <c r="H15" s="31">
        <f t="shared" si="6"/>
        <v>1.6697366851547588E-2</v>
      </c>
      <c r="I15" s="31">
        <f t="shared" si="7"/>
        <v>-1.8976668366042595</v>
      </c>
      <c r="J15" s="31">
        <f t="shared" si="8"/>
        <v>-392.94703860369606</v>
      </c>
      <c r="K15" s="31">
        <f t="shared" si="9"/>
        <v>200.04499578484985</v>
      </c>
      <c r="L15" s="31">
        <f t="shared" si="10"/>
        <v>23.435808422300049</v>
      </c>
      <c r="M15" s="31">
        <f t="shared" si="11"/>
        <v>23.437956706836573</v>
      </c>
      <c r="N15" s="31">
        <f t="shared" si="12"/>
        <v>-7.8357644993318587</v>
      </c>
      <c r="O15" s="31">
        <f t="shared" si="13"/>
        <v>4.3029490112026059E-2</v>
      </c>
      <c r="P15" s="31">
        <f t="shared" si="14"/>
        <v>13.747594509264372</v>
      </c>
      <c r="Q15" s="31">
        <f t="shared" si="15"/>
        <v>86.408431770276266</v>
      </c>
      <c r="R15" s="29">
        <f t="shared" si="16"/>
        <v>416</v>
      </c>
      <c r="S15" s="29">
        <f t="shared" si="17"/>
        <v>1107</v>
      </c>
    </row>
    <row r="16" spans="1:19" x14ac:dyDescent="0.3">
      <c r="A16" s="29">
        <v>14</v>
      </c>
      <c r="B16" s="30">
        <f t="shared" si="0"/>
        <v>46309</v>
      </c>
      <c r="C16" s="29">
        <f t="shared" si="1"/>
        <v>3</v>
      </c>
      <c r="D16" s="31">
        <f t="shared" si="2"/>
        <v>2461327.875</v>
      </c>
      <c r="E16" s="31">
        <f t="shared" si="3"/>
        <v>0.26784052019164956</v>
      </c>
      <c r="F16" s="31">
        <f t="shared" si="4"/>
        <v>202.93140031816984</v>
      </c>
      <c r="G16" s="31">
        <f t="shared" si="5"/>
        <v>9999.5334550527386</v>
      </c>
      <c r="H16" s="31">
        <f t="shared" si="6"/>
        <v>1.6697365698779148E-2</v>
      </c>
      <c r="I16" s="31">
        <f t="shared" si="7"/>
        <v>-1.8931547730952025</v>
      </c>
      <c r="J16" s="31">
        <f t="shared" si="8"/>
        <v>-392.99999236139632</v>
      </c>
      <c r="K16" s="31">
        <f t="shared" si="9"/>
        <v>201.03515891912755</v>
      </c>
      <c r="L16" s="31">
        <f t="shared" si="10"/>
        <v>23.435808066265931</v>
      </c>
      <c r="M16" s="31">
        <f t="shared" si="11"/>
        <v>23.437955063105754</v>
      </c>
      <c r="N16" s="31">
        <f t="shared" si="12"/>
        <v>-8.2082098770275351</v>
      </c>
      <c r="O16" s="31">
        <f t="shared" si="13"/>
        <v>4.3029483904940435E-2</v>
      </c>
      <c r="P16" s="31">
        <f t="shared" si="14"/>
        <v>13.986926069280086</v>
      </c>
      <c r="Q16" s="31">
        <f t="shared" si="15"/>
        <v>86.189168745323414</v>
      </c>
      <c r="R16" s="29">
        <f t="shared" si="16"/>
        <v>416</v>
      </c>
      <c r="S16" s="29">
        <f t="shared" si="17"/>
        <v>1106</v>
      </c>
    </row>
    <row r="17" spans="1:19" x14ac:dyDescent="0.3">
      <c r="A17" s="29">
        <v>15</v>
      </c>
      <c r="B17" s="30">
        <f t="shared" si="0"/>
        <v>46310</v>
      </c>
      <c r="C17" s="29">
        <f t="shared" si="1"/>
        <v>3</v>
      </c>
      <c r="D17" s="31">
        <f t="shared" si="2"/>
        <v>2461328.875</v>
      </c>
      <c r="E17" s="31">
        <f t="shared" si="3"/>
        <v>0.26786789869952088</v>
      </c>
      <c r="F17" s="31">
        <f t="shared" si="4"/>
        <v>203.91704768278032</v>
      </c>
      <c r="G17" s="31">
        <f t="shared" si="5"/>
        <v>10000.519055332208</v>
      </c>
      <c r="H17" s="31">
        <f t="shared" si="6"/>
        <v>1.6697364546010514E-2</v>
      </c>
      <c r="I17" s="31">
        <f t="shared" si="7"/>
        <v>-1.8880773359747256</v>
      </c>
      <c r="J17" s="31">
        <f t="shared" si="8"/>
        <v>-393.05294611909648</v>
      </c>
      <c r="K17" s="31">
        <f t="shared" si="9"/>
        <v>202.02588742479114</v>
      </c>
      <c r="L17" s="31">
        <f t="shared" si="10"/>
        <v>23.435807710231817</v>
      </c>
      <c r="M17" s="31">
        <f t="shared" si="11"/>
        <v>23.437953417541024</v>
      </c>
      <c r="N17" s="31">
        <f t="shared" si="12"/>
        <v>-8.5787449714593045</v>
      </c>
      <c r="O17" s="31">
        <f t="shared" si="13"/>
        <v>4.3029477690930046E-2</v>
      </c>
      <c r="P17" s="31">
        <f t="shared" si="14"/>
        <v>14.217196512929174</v>
      </c>
      <c r="Q17" s="31">
        <f t="shared" si="15"/>
        <v>85.970607212722058</v>
      </c>
      <c r="R17" s="29">
        <f t="shared" si="16"/>
        <v>417</v>
      </c>
      <c r="S17" s="29">
        <f t="shared" si="17"/>
        <v>1105</v>
      </c>
    </row>
    <row r="18" spans="1:19" x14ac:dyDescent="0.3">
      <c r="A18" s="29">
        <v>16</v>
      </c>
      <c r="B18" s="30">
        <f t="shared" si="0"/>
        <v>46311</v>
      </c>
      <c r="C18" s="29">
        <f t="shared" si="1"/>
        <v>3</v>
      </c>
      <c r="D18" s="31">
        <f t="shared" si="2"/>
        <v>2461329.875</v>
      </c>
      <c r="E18" s="31">
        <f t="shared" si="3"/>
        <v>0.2678952772073922</v>
      </c>
      <c r="F18" s="31">
        <f t="shared" si="4"/>
        <v>204.90269504739263</v>
      </c>
      <c r="G18" s="31">
        <f t="shared" si="5"/>
        <v>10001.504655611679</v>
      </c>
      <c r="H18" s="31">
        <f t="shared" si="6"/>
        <v>1.6697363393241692E-2</v>
      </c>
      <c r="I18" s="31">
        <f t="shared" si="7"/>
        <v>-1.8824354373315479</v>
      </c>
      <c r="J18" s="31">
        <f t="shared" si="8"/>
        <v>-393.10589987679674</v>
      </c>
      <c r="K18" s="31">
        <f t="shared" si="9"/>
        <v>203.01718038975233</v>
      </c>
      <c r="L18" s="31">
        <f t="shared" si="10"/>
        <v>23.435807354197703</v>
      </c>
      <c r="M18" s="31">
        <f t="shared" si="11"/>
        <v>23.437951770143474</v>
      </c>
      <c r="N18" s="31">
        <f t="shared" si="12"/>
        <v>-8.9472642064214707</v>
      </c>
      <c r="O18" s="31">
        <f t="shared" si="13"/>
        <v>4.3029471469999026E-2</v>
      </c>
      <c r="P18" s="31">
        <f t="shared" si="14"/>
        <v>14.438091562424429</v>
      </c>
      <c r="Q18" s="31">
        <f t="shared" si="15"/>
        <v>85.752793462464808</v>
      </c>
      <c r="R18" s="29">
        <f t="shared" si="16"/>
        <v>418</v>
      </c>
      <c r="S18" s="29">
        <f t="shared" si="17"/>
        <v>1104</v>
      </c>
    </row>
    <row r="19" spans="1:19" x14ac:dyDescent="0.3">
      <c r="A19" s="29">
        <v>17</v>
      </c>
      <c r="B19" s="30">
        <f t="shared" si="0"/>
        <v>46312</v>
      </c>
      <c r="C19" s="29">
        <f t="shared" si="1"/>
        <v>3</v>
      </c>
      <c r="D19" s="31">
        <f t="shared" si="2"/>
        <v>2461330.875</v>
      </c>
      <c r="E19" s="31">
        <f t="shared" si="3"/>
        <v>0.26792265571526352</v>
      </c>
      <c r="F19" s="31">
        <f t="shared" si="4"/>
        <v>205.88834241200311</v>
      </c>
      <c r="G19" s="31">
        <f t="shared" si="5"/>
        <v>10002.490255891149</v>
      </c>
      <c r="H19" s="31">
        <f t="shared" si="6"/>
        <v>1.6697362240472684E-2</v>
      </c>
      <c r="I19" s="31">
        <f t="shared" si="7"/>
        <v>-1.876230162256741</v>
      </c>
      <c r="J19" s="31">
        <f t="shared" si="8"/>
        <v>-393.15885363449689</v>
      </c>
      <c r="K19" s="31">
        <f t="shared" si="9"/>
        <v>204.00903672891323</v>
      </c>
      <c r="L19" s="31">
        <f t="shared" si="10"/>
        <v>23.435806998163585</v>
      </c>
      <c r="M19" s="31">
        <f t="shared" si="11"/>
        <v>23.437950120914213</v>
      </c>
      <c r="N19" s="31">
        <f t="shared" si="12"/>
        <v>-9.3136614472106753</v>
      </c>
      <c r="O19" s="31">
        <f t="shared" si="13"/>
        <v>4.3029465242151552E-2</v>
      </c>
      <c r="P19" s="31">
        <f t="shared" si="14"/>
        <v>14.649301901648693</v>
      </c>
      <c r="Q19" s="31">
        <f t="shared" si="15"/>
        <v>85.535775127800264</v>
      </c>
      <c r="R19" s="29">
        <f t="shared" si="16"/>
        <v>418</v>
      </c>
      <c r="S19" s="29">
        <f t="shared" si="17"/>
        <v>1103</v>
      </c>
    </row>
    <row r="20" spans="1:19" x14ac:dyDescent="0.3">
      <c r="A20" s="29">
        <v>18</v>
      </c>
      <c r="B20" s="30">
        <f t="shared" si="0"/>
        <v>46313</v>
      </c>
      <c r="C20" s="29">
        <f t="shared" si="1"/>
        <v>3</v>
      </c>
      <c r="D20" s="31">
        <f t="shared" si="2"/>
        <v>2461331.875</v>
      </c>
      <c r="E20" s="31">
        <f t="shared" si="3"/>
        <v>0.26795003422313485</v>
      </c>
      <c r="F20" s="31">
        <f t="shared" si="4"/>
        <v>206.87398977661542</v>
      </c>
      <c r="G20" s="31">
        <f t="shared" si="5"/>
        <v>10003.475856170618</v>
      </c>
      <c r="H20" s="31">
        <f t="shared" si="6"/>
        <v>1.6697361087703481E-2</v>
      </c>
      <c r="I20" s="31">
        <f t="shared" si="7"/>
        <v>-1.8694627692426213</v>
      </c>
      <c r="J20" s="31">
        <f t="shared" si="8"/>
        <v>-393.21180739219716</v>
      </c>
      <c r="K20" s="31">
        <f t="shared" si="9"/>
        <v>205.00145518378204</v>
      </c>
      <c r="L20" s="31">
        <f t="shared" si="10"/>
        <v>23.435806642129471</v>
      </c>
      <c r="M20" s="31">
        <f t="shared" si="11"/>
        <v>23.437948469854344</v>
      </c>
      <c r="N20" s="31">
        <f t="shared" si="12"/>
        <v>-9.677830007693963</v>
      </c>
      <c r="O20" s="31">
        <f t="shared" si="13"/>
        <v>4.3029459007391788E-2</v>
      </c>
      <c r="P20" s="31">
        <f t="shared" si="14"/>
        <v>14.850523638435753</v>
      </c>
      <c r="Q20" s="31">
        <f t="shared" si="15"/>
        <v>85.319601232398924</v>
      </c>
      <c r="R20" s="29">
        <f t="shared" si="16"/>
        <v>419</v>
      </c>
      <c r="S20" s="29">
        <f t="shared" si="17"/>
        <v>1101</v>
      </c>
    </row>
    <row r="21" spans="1:19" x14ac:dyDescent="0.3">
      <c r="A21" s="29">
        <v>19</v>
      </c>
      <c r="B21" s="30">
        <f t="shared" si="0"/>
        <v>46314</v>
      </c>
      <c r="C21" s="29">
        <f t="shared" si="1"/>
        <v>3</v>
      </c>
      <c r="D21" s="31">
        <f t="shared" si="2"/>
        <v>2461332.875</v>
      </c>
      <c r="E21" s="31">
        <f t="shared" si="3"/>
        <v>0.26797741273100617</v>
      </c>
      <c r="F21" s="31">
        <f t="shared" si="4"/>
        <v>207.85963714122954</v>
      </c>
      <c r="G21" s="31">
        <f t="shared" si="5"/>
        <v>10004.46145645009</v>
      </c>
      <c r="H21" s="31">
        <f t="shared" si="6"/>
        <v>1.669735993493409E-2</v>
      </c>
      <c r="I21" s="31">
        <f t="shared" si="7"/>
        <v>-1.862134690524869</v>
      </c>
      <c r="J21" s="31">
        <f t="shared" si="8"/>
        <v>-393.26476114989731</v>
      </c>
      <c r="K21" s="31">
        <f t="shared" si="9"/>
        <v>205.99443432211996</v>
      </c>
      <c r="L21" s="31">
        <f t="shared" si="10"/>
        <v>23.435806286095357</v>
      </c>
      <c r="M21" s="31">
        <f t="shared" si="11"/>
        <v>23.437946816964978</v>
      </c>
      <c r="N21" s="31">
        <f t="shared" si="12"/>
        <v>-10.039662659383071</v>
      </c>
      <c r="O21" s="31">
        <f t="shared" si="13"/>
        <v>4.3029452765723945E-2</v>
      </c>
      <c r="P21" s="31">
        <f t="shared" si="14"/>
        <v>15.041458779280916</v>
      </c>
      <c r="Q21" s="31">
        <f t="shared" si="15"/>
        <v>85.104322235731345</v>
      </c>
      <c r="R21" s="29">
        <f t="shared" si="16"/>
        <v>420</v>
      </c>
      <c r="S21" s="29">
        <f t="shared" si="17"/>
        <v>1100</v>
      </c>
    </row>
    <row r="22" spans="1:19" x14ac:dyDescent="0.3">
      <c r="A22" s="29">
        <v>20</v>
      </c>
      <c r="B22" s="30">
        <f t="shared" si="0"/>
        <v>46315</v>
      </c>
      <c r="C22" s="29">
        <f t="shared" si="1"/>
        <v>3</v>
      </c>
      <c r="D22" s="31">
        <f t="shared" si="2"/>
        <v>2461333.875</v>
      </c>
      <c r="E22" s="31">
        <f t="shared" si="3"/>
        <v>0.26800479123887749</v>
      </c>
      <c r="F22" s="31">
        <f t="shared" si="4"/>
        <v>208.84528450584367</v>
      </c>
      <c r="G22" s="31">
        <f t="shared" si="5"/>
        <v>10005.447056729558</v>
      </c>
      <c r="H22" s="31">
        <f t="shared" si="6"/>
        <v>1.6697358782164509E-2</v>
      </c>
      <c r="I22" s="31">
        <f t="shared" si="7"/>
        <v>-1.8542475323664731</v>
      </c>
      <c r="J22" s="31">
        <f t="shared" si="8"/>
        <v>-393.31771490759758</v>
      </c>
      <c r="K22" s="31">
        <f t="shared" si="9"/>
        <v>206.98797253765892</v>
      </c>
      <c r="L22" s="31">
        <f t="shared" si="10"/>
        <v>23.435805930061246</v>
      </c>
      <c r="M22" s="31">
        <f t="shared" si="11"/>
        <v>23.437945162247217</v>
      </c>
      <c r="N22" s="31">
        <f t="shared" si="12"/>
        <v>-10.399051642625672</v>
      </c>
      <c r="O22" s="31">
        <f t="shared" si="13"/>
        <v>4.3029446517152167E-2</v>
      </c>
      <c r="P22" s="31">
        <f t="shared" si="14"/>
        <v>15.221815715533868</v>
      </c>
      <c r="Q22" s="31">
        <f t="shared" si="15"/>
        <v>84.889990076449877</v>
      </c>
      <c r="R22" s="29">
        <f t="shared" si="16"/>
        <v>420</v>
      </c>
      <c r="S22" s="29">
        <f t="shared" si="17"/>
        <v>1099</v>
      </c>
    </row>
    <row r="23" spans="1:19" x14ac:dyDescent="0.3">
      <c r="A23" s="29">
        <v>21</v>
      </c>
      <c r="B23" s="30">
        <f t="shared" si="0"/>
        <v>46316</v>
      </c>
      <c r="C23" s="29">
        <f t="shared" si="1"/>
        <v>3</v>
      </c>
      <c r="D23" s="31">
        <f t="shared" si="2"/>
        <v>2461334.875</v>
      </c>
      <c r="E23" s="31">
        <f t="shared" si="3"/>
        <v>0.26803216974674882</v>
      </c>
      <c r="F23" s="31">
        <f t="shared" si="4"/>
        <v>209.83093187045779</v>
      </c>
      <c r="G23" s="31">
        <f t="shared" si="5"/>
        <v>10006.432657009027</v>
      </c>
      <c r="H23" s="31">
        <f t="shared" si="6"/>
        <v>1.6697357629394737E-2</v>
      </c>
      <c r="I23" s="31">
        <f t="shared" si="7"/>
        <v>-1.8458030752825465</v>
      </c>
      <c r="J23" s="31">
        <f t="shared" si="8"/>
        <v>-393.37066866529773</v>
      </c>
      <c r="K23" s="31">
        <f t="shared" si="9"/>
        <v>207.98206804988075</v>
      </c>
      <c r="L23" s="31">
        <f t="shared" si="10"/>
        <v>23.435805574027132</v>
      </c>
      <c r="M23" s="31">
        <f t="shared" si="11"/>
        <v>23.437943505702169</v>
      </c>
      <c r="N23" s="31">
        <f t="shared" si="12"/>
        <v>-10.755888680005768</v>
      </c>
      <c r="O23" s="31">
        <f t="shared" si="13"/>
        <v>4.3029440261680658E-2</v>
      </c>
      <c r="P23" s="31">
        <f t="shared" si="14"/>
        <v>15.391309720020626</v>
      </c>
      <c r="Q23" s="31">
        <f t="shared" si="15"/>
        <v>84.676658213565659</v>
      </c>
      <c r="R23" s="29">
        <f t="shared" si="16"/>
        <v>421</v>
      </c>
      <c r="S23" s="29">
        <f t="shared" si="17"/>
        <v>1098</v>
      </c>
    </row>
    <row r="24" spans="1:19" x14ac:dyDescent="0.3">
      <c r="A24" s="29">
        <v>22</v>
      </c>
      <c r="B24" s="30">
        <f t="shared" si="0"/>
        <v>46317</v>
      </c>
      <c r="C24" s="29">
        <f t="shared" si="1"/>
        <v>3</v>
      </c>
      <c r="D24" s="31">
        <f t="shared" si="2"/>
        <v>2461335.875</v>
      </c>
      <c r="E24" s="31">
        <f t="shared" si="3"/>
        <v>0.26805954825462014</v>
      </c>
      <c r="F24" s="31">
        <f t="shared" si="4"/>
        <v>210.81657923507191</v>
      </c>
      <c r="G24" s="31">
        <f t="shared" si="5"/>
        <v>10007.418257288497</v>
      </c>
      <c r="H24" s="31">
        <f t="shared" si="6"/>
        <v>1.6697356476624778E-2</v>
      </c>
      <c r="I24" s="31">
        <f t="shared" si="7"/>
        <v>-1.8368032742053668</v>
      </c>
      <c r="J24" s="31">
        <f t="shared" si="8"/>
        <v>-393.42362242299799</v>
      </c>
      <c r="K24" s="31">
        <f t="shared" si="9"/>
        <v>208.97671890384996</v>
      </c>
      <c r="L24" s="31">
        <f t="shared" si="10"/>
        <v>23.435805217993018</v>
      </c>
      <c r="M24" s="31">
        <f t="shared" si="11"/>
        <v>23.437941847330947</v>
      </c>
      <c r="N24" s="31">
        <f t="shared" si="12"/>
        <v>-11.110064992046409</v>
      </c>
      <c r="O24" s="31">
        <f t="shared" si="13"/>
        <v>4.3029433999313624E-2</v>
      </c>
      <c r="P24" s="31">
        <f t="shared" si="14"/>
        <v>15.549663452951277</v>
      </c>
      <c r="Q24" s="31">
        <f t="shared" si="15"/>
        <v>84.464381665198871</v>
      </c>
      <c r="R24" s="29">
        <f t="shared" si="16"/>
        <v>422</v>
      </c>
      <c r="S24" s="29">
        <f t="shared" si="17"/>
        <v>1097</v>
      </c>
    </row>
    <row r="25" spans="1:19" x14ac:dyDescent="0.3">
      <c r="A25" s="29">
        <v>23</v>
      </c>
      <c r="B25" s="30">
        <f t="shared" si="0"/>
        <v>46318</v>
      </c>
      <c r="C25" s="29">
        <f t="shared" si="1"/>
        <v>3</v>
      </c>
      <c r="D25" s="31">
        <f t="shared" si="2"/>
        <v>2461336.875</v>
      </c>
      <c r="E25" s="31">
        <f t="shared" si="3"/>
        <v>0.26808692676249146</v>
      </c>
      <c r="F25" s="31">
        <f t="shared" si="4"/>
        <v>211.80222659968786</v>
      </c>
      <c r="G25" s="31">
        <f t="shared" si="5"/>
        <v>10008.403857567964</v>
      </c>
      <c r="H25" s="31">
        <f t="shared" si="6"/>
        <v>1.6697355323854628E-2</v>
      </c>
      <c r="I25" s="31">
        <f t="shared" si="7"/>
        <v>-1.8272502585881074</v>
      </c>
      <c r="J25" s="31">
        <f t="shared" si="8"/>
        <v>-393.47657618069815</v>
      </c>
      <c r="K25" s="31">
        <f t="shared" si="9"/>
        <v>209.9719229701121</v>
      </c>
      <c r="L25" s="31">
        <f t="shared" si="10"/>
        <v>23.435804861958907</v>
      </c>
      <c r="M25" s="31">
        <f t="shared" si="11"/>
        <v>23.437940187134668</v>
      </c>
      <c r="N25" s="31">
        <f t="shared" si="12"/>
        <v>-11.461471315314309</v>
      </c>
      <c r="O25" s="31">
        <f t="shared" si="13"/>
        <v>4.3029427730055268E-2</v>
      </c>
      <c r="P25" s="31">
        <f t="shared" si="14"/>
        <v>15.69660747588197</v>
      </c>
      <c r="Q25" s="31">
        <f t="shared" si="15"/>
        <v>84.253217044664893</v>
      </c>
      <c r="R25" s="29">
        <f t="shared" si="16"/>
        <v>422</v>
      </c>
      <c r="S25" s="29">
        <f t="shared" si="17"/>
        <v>1096</v>
      </c>
    </row>
    <row r="26" spans="1:19" x14ac:dyDescent="0.3">
      <c r="A26" s="29">
        <v>24</v>
      </c>
      <c r="B26" s="30">
        <f t="shared" si="0"/>
        <v>46319</v>
      </c>
      <c r="C26" s="29">
        <f t="shared" si="1"/>
        <v>3</v>
      </c>
      <c r="D26" s="31">
        <f t="shared" si="2"/>
        <v>2461337.875</v>
      </c>
      <c r="E26" s="31">
        <f t="shared" si="3"/>
        <v>0.26811430527036278</v>
      </c>
      <c r="F26" s="31">
        <f t="shared" si="4"/>
        <v>212.7878739643038</v>
      </c>
      <c r="G26" s="31">
        <f t="shared" si="5"/>
        <v>10009.389457847434</v>
      </c>
      <c r="H26" s="31">
        <f t="shared" si="6"/>
        <v>1.6697354171084287E-2</v>
      </c>
      <c r="I26" s="31">
        <f t="shared" si="7"/>
        <v>-1.8171463324467294</v>
      </c>
      <c r="J26" s="31">
        <f t="shared" si="8"/>
        <v>-393.52952993839841</v>
      </c>
      <c r="K26" s="31">
        <f t="shared" si="9"/>
        <v>210.9676779446462</v>
      </c>
      <c r="L26" s="31">
        <f t="shared" si="10"/>
        <v>23.435804505924793</v>
      </c>
      <c r="M26" s="31">
        <f t="shared" si="11"/>
        <v>23.43793852511444</v>
      </c>
      <c r="N26" s="31">
        <f t="shared" si="12"/>
        <v>-11.80999792301677</v>
      </c>
      <c r="O26" s="31">
        <f t="shared" si="13"/>
        <v>4.3029421453909776E-2</v>
      </c>
      <c r="P26" s="31">
        <f t="shared" si="14"/>
        <v>15.831880772414502</v>
      </c>
      <c r="Q26" s="31">
        <f t="shared" si="15"/>
        <v>84.0432225936527</v>
      </c>
      <c r="R26" s="29">
        <f t="shared" si="16"/>
        <v>423</v>
      </c>
      <c r="S26" s="29">
        <f t="shared" si="17"/>
        <v>1095</v>
      </c>
    </row>
    <row r="27" spans="1:19" x14ac:dyDescent="0.3">
      <c r="A27" s="29">
        <v>25</v>
      </c>
      <c r="B27" s="30">
        <f t="shared" si="0"/>
        <v>46320</v>
      </c>
      <c r="C27" s="29">
        <f t="shared" si="1"/>
        <v>3</v>
      </c>
      <c r="D27" s="31">
        <f t="shared" si="2"/>
        <v>2461338.875</v>
      </c>
      <c r="E27" s="31">
        <f t="shared" si="3"/>
        <v>0.26814168377823411</v>
      </c>
      <c r="F27" s="31">
        <f t="shared" si="4"/>
        <v>213.77352132891974</v>
      </c>
      <c r="G27" s="31">
        <f t="shared" si="5"/>
        <v>10010.375058126903</v>
      </c>
      <c r="H27" s="31">
        <f t="shared" si="6"/>
        <v>1.6697353018313755E-2</v>
      </c>
      <c r="I27" s="31">
        <f t="shared" si="7"/>
        <v>-1.8064939743391808</v>
      </c>
      <c r="J27" s="31">
        <f t="shared" si="8"/>
        <v>-393.58248369609856</v>
      </c>
      <c r="K27" s="31">
        <f t="shared" si="9"/>
        <v>211.96398134889114</v>
      </c>
      <c r="L27" s="31">
        <f t="shared" si="10"/>
        <v>23.435804149890682</v>
      </c>
      <c r="M27" s="31">
        <f t="shared" si="11"/>
        <v>23.437936861271382</v>
      </c>
      <c r="N27" s="31">
        <f t="shared" si="12"/>
        <v>-12.155534648191319</v>
      </c>
      <c r="O27" s="31">
        <f t="shared" si="13"/>
        <v>4.3029415170881387E-2</v>
      </c>
      <c r="P27" s="31">
        <f t="shared" si="14"/>
        <v>15.955231274241301</v>
      </c>
      <c r="Q27" s="31">
        <f t="shared" si="15"/>
        <v>83.834458212232875</v>
      </c>
      <c r="R27" s="29">
        <f t="shared" si="16"/>
        <v>424</v>
      </c>
      <c r="S27" s="29">
        <f t="shared" si="17"/>
        <v>1094</v>
      </c>
    </row>
    <row r="28" spans="1:19" x14ac:dyDescent="0.3">
      <c r="A28" s="29">
        <v>26</v>
      </c>
      <c r="B28" s="30">
        <f t="shared" si="0"/>
        <v>46321</v>
      </c>
      <c r="C28" s="29">
        <f t="shared" si="1"/>
        <v>3</v>
      </c>
      <c r="D28" s="31">
        <f t="shared" si="2"/>
        <v>2461339.875</v>
      </c>
      <c r="E28" s="31">
        <f t="shared" si="3"/>
        <v>0.26816906228610543</v>
      </c>
      <c r="F28" s="31">
        <f t="shared" si="4"/>
        <v>214.75916869353568</v>
      </c>
      <c r="G28" s="31">
        <f t="shared" si="5"/>
        <v>10011.360658406369</v>
      </c>
      <c r="H28" s="31">
        <f t="shared" si="6"/>
        <v>1.6697351865543036E-2</v>
      </c>
      <c r="I28" s="31">
        <f t="shared" si="7"/>
        <v>-1.7952958372805581</v>
      </c>
      <c r="J28" s="31">
        <f t="shared" si="8"/>
        <v>-393.63543745379883</v>
      </c>
      <c r="K28" s="31">
        <f t="shared" si="9"/>
        <v>212.96083052982874</v>
      </c>
      <c r="L28" s="31">
        <f t="shared" si="10"/>
        <v>23.435803793856572</v>
      </c>
      <c r="M28" s="31">
        <f t="shared" si="11"/>
        <v>23.43793519560661</v>
      </c>
      <c r="N28" s="31">
        <f t="shared" si="12"/>
        <v>-12.497970909573301</v>
      </c>
      <c r="O28" s="31">
        <f t="shared" si="13"/>
        <v>4.3029408880974312E-2</v>
      </c>
      <c r="P28" s="31">
        <f t="shared" si="14"/>
        <v>16.066416391059477</v>
      </c>
      <c r="Q28" s="31">
        <f t="shared" si="15"/>
        <v>83.626985485430765</v>
      </c>
      <c r="R28" s="29">
        <f t="shared" si="16"/>
        <v>424</v>
      </c>
      <c r="S28" s="29">
        <f t="shared" si="17"/>
        <v>1093</v>
      </c>
    </row>
    <row r="29" spans="1:19" x14ac:dyDescent="0.3">
      <c r="A29" s="29">
        <v>27</v>
      </c>
      <c r="B29" s="30">
        <f t="shared" si="0"/>
        <v>46322</v>
      </c>
      <c r="C29" s="29">
        <f t="shared" si="1"/>
        <v>3</v>
      </c>
      <c r="D29" s="31">
        <f t="shared" si="2"/>
        <v>2461340.875</v>
      </c>
      <c r="E29" s="31">
        <f t="shared" si="3"/>
        <v>0.26819644079397675</v>
      </c>
      <c r="F29" s="31">
        <f t="shared" si="4"/>
        <v>215.74481605814981</v>
      </c>
      <c r="G29" s="31">
        <f t="shared" si="5"/>
        <v>10012.346258685839</v>
      </c>
      <c r="H29" s="31">
        <f t="shared" si="6"/>
        <v>1.6697350712772126E-2</v>
      </c>
      <c r="I29" s="31">
        <f t="shared" si="7"/>
        <v>-1.7835547485936998</v>
      </c>
      <c r="J29" s="31">
        <f t="shared" si="8"/>
        <v>-393.68839121149898</v>
      </c>
      <c r="K29" s="31">
        <f t="shared" si="9"/>
        <v>213.95822266013116</v>
      </c>
      <c r="L29" s="31">
        <f t="shared" si="10"/>
        <v>23.435803437822461</v>
      </c>
      <c r="M29" s="31">
        <f t="shared" si="11"/>
        <v>23.437933528121238</v>
      </c>
      <c r="N29" s="31">
        <f t="shared" si="12"/>
        <v>-12.837195740233716</v>
      </c>
      <c r="O29" s="31">
        <f t="shared" si="13"/>
        <v>4.3029402584192758E-2</v>
      </c>
      <c r="P29" s="31">
        <f t="shared" si="14"/>
        <v>16.165203542816183</v>
      </c>
      <c r="Q29" s="31">
        <f t="shared" si="15"/>
        <v>83.420867706083982</v>
      </c>
      <c r="R29" s="29">
        <f t="shared" si="16"/>
        <v>425</v>
      </c>
      <c r="S29" s="29">
        <f t="shared" si="17"/>
        <v>1093</v>
      </c>
    </row>
    <row r="30" spans="1:19" x14ac:dyDescent="0.3">
      <c r="A30" s="29">
        <v>28</v>
      </c>
      <c r="B30" s="30">
        <f t="shared" si="0"/>
        <v>46323</v>
      </c>
      <c r="C30" s="29">
        <f t="shared" si="1"/>
        <v>3</v>
      </c>
      <c r="D30" s="31">
        <f t="shared" si="2"/>
        <v>2461341.875</v>
      </c>
      <c r="E30" s="31">
        <f t="shared" si="3"/>
        <v>0.26822381930184808</v>
      </c>
      <c r="F30" s="31">
        <f t="shared" si="4"/>
        <v>216.73046342276757</v>
      </c>
      <c r="G30" s="31">
        <f t="shared" si="5"/>
        <v>10013.331858965306</v>
      </c>
      <c r="H30" s="31">
        <f t="shared" si="6"/>
        <v>1.6697349560001025E-2</v>
      </c>
      <c r="I30" s="31">
        <f t="shared" si="7"/>
        <v>-1.7712737096947293</v>
      </c>
      <c r="J30" s="31">
        <f t="shared" si="8"/>
        <v>-393.74134496919925</v>
      </c>
      <c r="K30" s="31">
        <f t="shared" si="9"/>
        <v>214.95615473838461</v>
      </c>
      <c r="L30" s="31">
        <f t="shared" si="10"/>
        <v>23.43580308178835</v>
      </c>
      <c r="M30" s="31">
        <f t="shared" si="11"/>
        <v>23.437931858816395</v>
      </c>
      <c r="N30" s="31">
        <f t="shared" si="12"/>
        <v>-13.173097819077961</v>
      </c>
      <c r="O30" s="31">
        <f t="shared" si="13"/>
        <v>4.3029396280540998E-2</v>
      </c>
      <c r="P30" s="31">
        <f t="shared" si="14"/>
        <v>16.251370692683665</v>
      </c>
      <c r="Q30" s="31">
        <f t="shared" si="15"/>
        <v>83.216169893693589</v>
      </c>
      <c r="R30" s="29">
        <f t="shared" si="16"/>
        <v>426</v>
      </c>
      <c r="S30" s="29">
        <f t="shared" si="17"/>
        <v>1092</v>
      </c>
    </row>
    <row r="31" spans="1:19" x14ac:dyDescent="0.3">
      <c r="A31" s="29">
        <v>29</v>
      </c>
      <c r="B31" s="30">
        <f t="shared" si="0"/>
        <v>46324</v>
      </c>
      <c r="C31" s="29">
        <f t="shared" si="1"/>
        <v>3</v>
      </c>
      <c r="D31" s="31">
        <f t="shared" si="2"/>
        <v>2461342.875</v>
      </c>
      <c r="E31" s="31">
        <f t="shared" si="3"/>
        <v>0.26825119780971934</v>
      </c>
      <c r="F31" s="31">
        <f t="shared" si="4"/>
        <v>217.71611078738351</v>
      </c>
      <c r="G31" s="31">
        <f t="shared" si="5"/>
        <v>10014.31745924477</v>
      </c>
      <c r="H31" s="31">
        <f t="shared" si="6"/>
        <v>1.6697348407229733E-2</v>
      </c>
      <c r="I31" s="31">
        <f t="shared" si="7"/>
        <v>-1.7584558958117771</v>
      </c>
      <c r="J31" s="31">
        <f t="shared" si="8"/>
        <v>-393.79429872689929</v>
      </c>
      <c r="K31" s="31">
        <f t="shared" si="9"/>
        <v>215.95462358935237</v>
      </c>
      <c r="L31" s="31">
        <f t="shared" si="10"/>
        <v>23.43580272575424</v>
      </c>
      <c r="M31" s="31">
        <f t="shared" si="11"/>
        <v>23.437930187693194</v>
      </c>
      <c r="N31" s="31">
        <f t="shared" si="12"/>
        <v>-13.505565505276351</v>
      </c>
      <c r="O31" s="31">
        <f t="shared" si="13"/>
        <v>4.3029389970023223E-2</v>
      </c>
      <c r="P31" s="31">
        <f t="shared" si="14"/>
        <v>16.324706879092467</v>
      </c>
      <c r="Q31" s="31">
        <f t="shared" si="15"/>
        <v>83.012958808979349</v>
      </c>
      <c r="R31" s="29">
        <f t="shared" si="16"/>
        <v>427</v>
      </c>
      <c r="S31" s="29">
        <f t="shared" si="17"/>
        <v>1091</v>
      </c>
    </row>
    <row r="32" spans="1:19" x14ac:dyDescent="0.3">
      <c r="A32" s="29">
        <v>30</v>
      </c>
      <c r="B32" s="30">
        <f t="shared" si="0"/>
        <v>46325</v>
      </c>
      <c r="C32" s="29">
        <f t="shared" si="1"/>
        <v>2</v>
      </c>
      <c r="D32" s="31">
        <f t="shared" si="2"/>
        <v>2461343.9166666665</v>
      </c>
      <c r="E32" s="31">
        <f t="shared" si="3"/>
        <v>0.26827971708874776</v>
      </c>
      <c r="F32" s="31">
        <f t="shared" si="4"/>
        <v>218.74282679204407</v>
      </c>
      <c r="G32" s="31">
        <f t="shared" si="5"/>
        <v>10015.344126202397</v>
      </c>
      <c r="H32" s="31">
        <f t="shared" si="6"/>
        <v>1.6697347206426103E-2</v>
      </c>
      <c r="I32" s="31">
        <f t="shared" si="7"/>
        <v>-1.7445368292749897</v>
      </c>
      <c r="J32" s="31">
        <f t="shared" si="8"/>
        <v>-393.84945889116221</v>
      </c>
      <c r="K32" s="31">
        <f t="shared" si="9"/>
        <v>216.99526248362315</v>
      </c>
      <c r="L32" s="31">
        <f t="shared" si="10"/>
        <v>23.435802354885375</v>
      </c>
      <c r="M32" s="31">
        <f t="shared" si="11"/>
        <v>23.437928445007497</v>
      </c>
      <c r="N32" s="31">
        <f t="shared" si="12"/>
        <v>-13.848113317004918</v>
      </c>
      <c r="O32" s="31">
        <f t="shared" si="13"/>
        <v>4.3029383389270738E-2</v>
      </c>
      <c r="P32" s="31">
        <f t="shared" si="14"/>
        <v>16.387239904280907</v>
      </c>
      <c r="Q32" s="31">
        <f t="shared" si="15"/>
        <v>82.802935419400143</v>
      </c>
      <c r="R32" s="29">
        <f t="shared" si="16"/>
        <v>367</v>
      </c>
      <c r="S32" s="29">
        <f t="shared" si="17"/>
        <v>1030</v>
      </c>
    </row>
    <row r="33" spans="1:19" x14ac:dyDescent="0.3">
      <c r="A33" s="29">
        <v>31</v>
      </c>
      <c r="B33" s="30">
        <f t="shared" si="0"/>
        <v>46326</v>
      </c>
      <c r="C33" s="29">
        <f t="shared" si="1"/>
        <v>2</v>
      </c>
      <c r="D33" s="31">
        <f t="shared" si="2"/>
        <v>2461344.9166666665</v>
      </c>
      <c r="E33" s="31">
        <f t="shared" si="3"/>
        <v>0.26830709559661908</v>
      </c>
      <c r="F33" s="31">
        <f t="shared" si="4"/>
        <v>219.72847415666365</v>
      </c>
      <c r="G33" s="31">
        <f t="shared" si="5"/>
        <v>10016.329726481863</v>
      </c>
      <c r="H33" s="31">
        <f t="shared" si="6"/>
        <v>1.6697346053654426E-2</v>
      </c>
      <c r="I33" s="31">
        <f t="shared" si="7"/>
        <v>-1.7306336841699399</v>
      </c>
      <c r="J33" s="31">
        <f t="shared" si="8"/>
        <v>-393.90241264886237</v>
      </c>
      <c r="K33" s="31">
        <f t="shared" si="9"/>
        <v>217.99481666117669</v>
      </c>
      <c r="L33" s="31">
        <f t="shared" si="10"/>
        <v>23.435801998851264</v>
      </c>
      <c r="M33" s="31">
        <f t="shared" si="11"/>
        <v>23.437926770175313</v>
      </c>
      <c r="N33" s="31">
        <f t="shared" si="12"/>
        <v>-14.173221332980614</v>
      </c>
      <c r="O33" s="31">
        <f t="shared" si="13"/>
        <v>4.3029377064748089E-2</v>
      </c>
      <c r="P33" s="31">
        <f t="shared" si="14"/>
        <v>16.433773613382115</v>
      </c>
      <c r="Q33" s="31">
        <f t="shared" si="15"/>
        <v>82.602974362214781</v>
      </c>
      <c r="R33" s="29">
        <f t="shared" si="16"/>
        <v>368</v>
      </c>
      <c r="S33" s="29">
        <f t="shared" si="17"/>
        <v>1029</v>
      </c>
    </row>
  </sheetData>
  <sheetProtection sheet="1" formatColumns="0" formatRows="0"/>
  <mergeCells count="1">
    <mergeCell ref="A1:S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22</vt:i4>
      </vt:variant>
    </vt:vector>
  </HeadingPairs>
  <TitlesOfParts>
    <vt:vector size="26" baseType="lpstr">
      <vt:lpstr>الإعدادات</vt:lpstr>
      <vt:lpstr>الحضور</vt:lpstr>
      <vt:lpstr>المدن</vt:lpstr>
      <vt:lpstr>حساب الشمس</vt:lpstr>
      <vt:lpstr>City</vt:lpstr>
      <vt:lpstr>CompanyName</vt:lpstr>
      <vt:lpstr>CustomLat</vt:lpstr>
      <vt:lpstr>CustomLng</vt:lpstr>
      <vt:lpstr>DayHours</vt:lpstr>
      <vt:lpstr>EmployeeName</vt:lpstr>
      <vt:lpstr>HourlyWage</vt:lpstr>
      <vt:lpstr>Lat</vt:lpstr>
      <vt:lpstr>LateGrace</vt:lpstr>
      <vt:lpstr>Lng</vt:lpstr>
      <vt:lpstr>MonthlyWage</vt:lpstr>
      <vt:lpstr>MonthStart</vt:lpstr>
      <vt:lpstr>OTGrace</vt:lpstr>
      <vt:lpstr>الحضور!Print_Area</vt:lpstr>
      <vt:lpstr>RateDay</vt:lpstr>
      <vt:lpstr>RateNight</vt:lpstr>
      <vt:lpstr>RateRest</vt:lpstr>
      <vt:lpstr>Rest1</vt:lpstr>
      <vt:lpstr>Rest2</vt:lpstr>
      <vt:lpstr>ShiftEnd</vt:lpstr>
      <vt:lpstr>ShiftStart</vt:lpstr>
      <vt:lpstr>WageDays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شيت الحضور والانصراف والأوفرتايم بقانون العمل 14 لسنة 2025</dc:title>
  <dc:creator>نِظام HR · nidhamhr.com</dc:creator>
  <cp:lastModifiedBy>BASEM AZAB</cp:lastModifiedBy>
  <dcterms:created xsi:type="dcterms:W3CDTF">2026-10-18T19:29:43Z</dcterms:created>
  <dcterms:modified xsi:type="dcterms:W3CDTF">2026-10-18T19:30:18Z</dcterms:modified>
</cp:coreProperties>
</file>